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ustomProperty5.bin" ContentType="application/vnd.openxmlformats-officedocument.spreadsheetml.customProperty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drawings/drawing4.xml" ContentType="application/vnd.openxmlformats-officedocument.drawing+xml"/>
  <Override PartName="/xl/customProperty7.bin" ContentType="application/vnd.openxmlformats-officedocument.spreadsheetml.customProperty"/>
  <Override PartName="/xl/drawings/drawing5.xml" ContentType="application/vnd.openxmlformats-officedocument.drawing+xml"/>
  <Override PartName="/xl/customProperty8.bin" ContentType="application/vnd.openxmlformats-officedocument.spreadsheetml.customProperty"/>
  <Override PartName="/xl/drawings/drawing6.xml" ContentType="application/vnd.openxmlformats-officedocument.drawing+xml"/>
  <Override PartName="/xl/customProperty9.bin" ContentType="application/vnd.openxmlformats-officedocument.spreadsheetml.customProperty"/>
  <Override PartName="/xl/drawings/drawing7.xml" ContentType="application/vnd.openxmlformats-officedocument.drawing+xml"/>
  <Override PartName="/xl/customProperty10.bin" ContentType="application/vnd.openxmlformats-officedocument.spreadsheetml.customProperty"/>
  <Override PartName="/xl/drawings/drawing8.xml" ContentType="application/vnd.openxmlformats-officedocument.drawing+xml"/>
  <Override PartName="/xl/customProperty11.bin" ContentType="application/vnd.openxmlformats-officedocument.spreadsheetml.customProperty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ustomProperty12.bin" ContentType="application/vnd.openxmlformats-officedocument.spreadsheetml.customProperty"/>
  <Override PartName="/xl/drawings/drawing10.xml" ContentType="application/vnd.openxmlformats-officedocument.drawing+xml"/>
  <Override PartName="/xl/customProperty13.bin" ContentType="application/vnd.openxmlformats-officedocument.spreadsheetml.customProperty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ADMON DE SUMINISTROS\COMITE\COMITE 22\LICITACIONES ESTATALES\GES 22-2022 POLIZA DE SEGUROS\Bobell\"/>
    </mc:Choice>
  </mc:AlternateContent>
  <xr:revisionPtr revIDLastSave="0" documentId="13_ncr:1_{9D9AB008-9EDA-40E1-99C1-D6DCA7CDFBC7}" xr6:coauthVersionLast="47" xr6:coauthVersionMax="47" xr10:uidLastSave="{00000000-0000-0000-0000-000000000000}"/>
  <bookViews>
    <workbookView xWindow="-120" yWindow="-120" windowWidth="29040" windowHeight="15840" tabRatio="579" xr2:uid="{00000000-000D-0000-FFFF-FFFF00000000}"/>
  </bookViews>
  <sheets>
    <sheet name="Menu" sheetId="25" r:id="rId1"/>
    <sheet name="PARTIDA 3 EDIFICIOS PUBLICOS " sheetId="15" state="hidden" r:id="rId2"/>
    <sheet name="Contents" sheetId="24" state="hidden" r:id="rId3"/>
    <sheet name="3.1 y 3.2 GES PROPIOS" sheetId="19" r:id="rId4"/>
    <sheet name="3.3 GES ARRENDADOS" sheetId="18" r:id="rId5"/>
    <sheet name="3.4 FISCALIA" sheetId="27" r:id="rId6"/>
    <sheet name="FISCALIA22222" sheetId="20" state="hidden" r:id="rId7"/>
    <sheet name="RESUMEN 1" sheetId="22" state="hidden" r:id="rId8"/>
    <sheet name="RESUMEN 2" sheetId="23" r:id="rId9"/>
    <sheet name="RESUMEN 2 (2)" sheetId="26" state="hidden" r:id="rId10"/>
    <sheet name="RESUMEN2" sheetId="21" state="hidden" r:id="rId11"/>
    <sheet name="Propios 2022" sheetId="16" state="hidden" r:id="rId12"/>
    <sheet name="Arrendados 2022" sheetId="17" state="hidden" r:id="rId13"/>
  </sheets>
  <definedNames>
    <definedName name="_xlnm.Print_Area" localSheetId="3">'3.1 y 3.2 GES PROPIOS'!$B$3:$T$56</definedName>
    <definedName name="_xlnm.Print_Area" localSheetId="4">'3.3 GES ARRENDADOS'!$B$2:$T$129</definedName>
    <definedName name="_xlnm.Print_Area" localSheetId="5">'3.4 FISCALIA'!$B$1:$T$75</definedName>
    <definedName name="_xlnm.Print_Area" localSheetId="6">FISCALIA22222!$B$1:$T$37</definedName>
    <definedName name="_xlnm.Print_Area" localSheetId="1">'PARTIDA 3 EDIFICIOS PUBLICOS '!$B$1:$T$207</definedName>
    <definedName name="_xlnm.Print_Area" localSheetId="7">'RESUMEN 1'!$B$1:$T$28</definedName>
    <definedName name="_xlnm.Print_Area" localSheetId="8">'RESUMEN 2'!$B$2:$I$31</definedName>
    <definedName name="_xlnm.Print_Area" localSheetId="10">RESUMEN2!$A$1:$S$206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1">#REF!</definedName>
    <definedName name="_xlnm.Database" localSheetId="7">#REF!</definedName>
    <definedName name="_xlnm.Database" localSheetId="10">#REF!</definedName>
    <definedName name="_xlnm.Database">#REF!</definedName>
    <definedName name="_xlnm.Print_Titles" localSheetId="3">'3.1 y 3.2 GES PROPIOS'!$4:$4</definedName>
    <definedName name="_xlnm.Print_Titles" localSheetId="4">'3.3 GES ARRENDADOS'!$3:$3</definedName>
    <definedName name="_xlnm.Print_Titles" localSheetId="5">'3.4 FISCALIA'!$3:$3</definedName>
    <definedName name="_xlnm.Print_Titles" localSheetId="6">FISCALIA22222!$3:$3</definedName>
    <definedName name="_xlnm.Print_Titles" localSheetId="1">'PARTIDA 3 EDIFICIOS PUBLICOS '!$2:$2</definedName>
    <definedName name="_xlnm.Print_Titles" localSheetId="7">'RESUMEN 1'!$13:$13</definedName>
    <definedName name="_xlnm.Print_Titles" localSheetId="10">RESUMEN2!$2:$2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3" i="27" l="1"/>
  <c r="M64" i="27"/>
  <c r="M65" i="27"/>
  <c r="M66" i="27"/>
  <c r="M67" i="27"/>
  <c r="M68" i="27"/>
  <c r="M69" i="27"/>
  <c r="M70" i="27"/>
  <c r="M71" i="27"/>
  <c r="B36" i="27"/>
  <c r="B126" i="18" l="1"/>
  <c r="B129" i="18"/>
  <c r="E14" i="23" s="1"/>
  <c r="M26" i="27"/>
  <c r="M27" i="27"/>
  <c r="M28" i="27"/>
  <c r="M29" i="27"/>
  <c r="M30" i="27"/>
  <c r="M19" i="27"/>
  <c r="M20" i="27"/>
  <c r="M21" i="27"/>
  <c r="M22" i="27"/>
  <c r="M23" i="27"/>
  <c r="M24" i="27"/>
  <c r="M25" i="27"/>
  <c r="M35" i="27"/>
  <c r="I36" i="27"/>
  <c r="K35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K7" i="27"/>
  <c r="K8" i="27"/>
  <c r="K9" i="27"/>
  <c r="K10" i="27"/>
  <c r="K11" i="27"/>
  <c r="K12" i="27"/>
  <c r="K13" i="27"/>
  <c r="K14" i="27"/>
  <c r="K196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6" i="27"/>
  <c r="K71" i="27"/>
  <c r="K6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B31" i="27"/>
  <c r="B59" i="27"/>
  <c r="B72" i="27"/>
  <c r="I72" i="27"/>
  <c r="K63" i="27"/>
  <c r="K64" i="27"/>
  <c r="K65" i="27"/>
  <c r="K66" i="27"/>
  <c r="K67" i="27"/>
  <c r="K68" i="27"/>
  <c r="K69" i="27"/>
  <c r="K70" i="27"/>
  <c r="T72" i="27"/>
  <c r="S72" i="27"/>
  <c r="R72" i="27"/>
  <c r="Q72" i="27"/>
  <c r="P72" i="27"/>
  <c r="O72" i="27"/>
  <c r="N72" i="27"/>
  <c r="L72" i="27"/>
  <c r="J72" i="27"/>
  <c r="M62" i="27"/>
  <c r="M72" i="27" s="1"/>
  <c r="J31" i="27"/>
  <c r="J36" i="27"/>
  <c r="J59" i="27"/>
  <c r="K72" i="27" l="1"/>
  <c r="J75" i="27"/>
  <c r="F16" i="23" s="1"/>
  <c r="B204" i="15" l="1"/>
  <c r="B75" i="27" l="1"/>
  <c r="F14" i="23" s="1"/>
  <c r="T17" i="22"/>
  <c r="K17" i="22"/>
  <c r="G14" i="23"/>
  <c r="B207" i="15"/>
  <c r="O41" i="15"/>
  <c r="P41" i="15"/>
  <c r="Q41" i="15"/>
  <c r="R41" i="15"/>
  <c r="N41" i="15"/>
  <c r="T75" i="27" l="1"/>
  <c r="S75" i="27"/>
  <c r="R75" i="27"/>
  <c r="Q75" i="27"/>
  <c r="P75" i="27"/>
  <c r="O75" i="27"/>
  <c r="N75" i="27"/>
  <c r="L75" i="27"/>
  <c r="T59" i="27"/>
  <c r="S59" i="27"/>
  <c r="R59" i="27"/>
  <c r="Q59" i="27"/>
  <c r="P59" i="27"/>
  <c r="O59" i="27"/>
  <c r="N59" i="27"/>
  <c r="L59" i="27"/>
  <c r="I59" i="27"/>
  <c r="M58" i="27"/>
  <c r="K58" i="27"/>
  <c r="M42" i="27"/>
  <c r="K42" i="27"/>
  <c r="M41" i="27"/>
  <c r="K41" i="27"/>
  <c r="M40" i="27"/>
  <c r="K40" i="27"/>
  <c r="M39" i="27"/>
  <c r="K39" i="27"/>
  <c r="T36" i="27"/>
  <c r="S36" i="27"/>
  <c r="R36" i="27"/>
  <c r="Q36" i="27"/>
  <c r="P36" i="27"/>
  <c r="O36" i="27"/>
  <c r="N36" i="27"/>
  <c r="L36" i="27"/>
  <c r="M34" i="27"/>
  <c r="M36" i="27" s="1"/>
  <c r="K34" i="27"/>
  <c r="K36" i="27" s="1"/>
  <c r="T31" i="27"/>
  <c r="S31" i="27"/>
  <c r="R31" i="27"/>
  <c r="Q31" i="27"/>
  <c r="P31" i="27"/>
  <c r="O31" i="27"/>
  <c r="N31" i="27"/>
  <c r="L31" i="27"/>
  <c r="J17" i="22"/>
  <c r="I31" i="27"/>
  <c r="I75" i="27" s="1"/>
  <c r="F15" i="23" s="1"/>
  <c r="M18" i="27"/>
  <c r="M17" i="27"/>
  <c r="M16" i="27"/>
  <c r="M15" i="27"/>
  <c r="M196" i="27"/>
  <c r="M14" i="27"/>
  <c r="M13" i="27"/>
  <c r="M12" i="27"/>
  <c r="M11" i="27"/>
  <c r="M10" i="27"/>
  <c r="M9" i="27"/>
  <c r="M8" i="27"/>
  <c r="M7" i="27"/>
  <c r="M6" i="27"/>
  <c r="M4" i="27"/>
  <c r="M5" i="19"/>
  <c r="E29" i="26"/>
  <c r="D29" i="26"/>
  <c r="C29" i="26"/>
  <c r="F20" i="26"/>
  <c r="F29" i="26" s="1"/>
  <c r="M5" i="18"/>
  <c r="M3" i="15"/>
  <c r="O37" i="20"/>
  <c r="P37" i="20"/>
  <c r="Q37" i="20"/>
  <c r="R37" i="20"/>
  <c r="S37" i="20"/>
  <c r="S15" i="22" s="1"/>
  <c r="T37" i="20"/>
  <c r="T15" i="22" s="1"/>
  <c r="N37" i="20"/>
  <c r="L37" i="20"/>
  <c r="M4" i="20"/>
  <c r="B22" i="24"/>
  <c r="B54" i="19"/>
  <c r="B43" i="19"/>
  <c r="B56" i="19" s="1"/>
  <c r="L54" i="19"/>
  <c r="N54" i="19"/>
  <c r="O54" i="19"/>
  <c r="P54" i="19"/>
  <c r="Q54" i="19"/>
  <c r="R54" i="19"/>
  <c r="S54" i="19"/>
  <c r="D25" i="23" s="1"/>
  <c r="T54" i="19"/>
  <c r="I54" i="19"/>
  <c r="G18" i="23"/>
  <c r="H16" i="22"/>
  <c r="H15" i="22"/>
  <c r="H14" i="22"/>
  <c r="T16" i="22"/>
  <c r="S203" i="21"/>
  <c r="R203" i="21"/>
  <c r="Q203" i="21"/>
  <c r="P203" i="21"/>
  <c r="O203" i="21"/>
  <c r="N203" i="21"/>
  <c r="M203" i="21"/>
  <c r="K203" i="21"/>
  <c r="I203" i="21"/>
  <c r="H203" i="21"/>
  <c r="L202" i="21"/>
  <c r="J202" i="21"/>
  <c r="L201" i="21"/>
  <c r="J201" i="21"/>
  <c r="L200" i="21"/>
  <c r="J200" i="21"/>
  <c r="J203" i="21" s="1"/>
  <c r="L199" i="21"/>
  <c r="L203" i="21" s="1"/>
  <c r="J199" i="21"/>
  <c r="L198" i="21"/>
  <c r="J198" i="21"/>
  <c r="S195" i="21"/>
  <c r="R195" i="21"/>
  <c r="Q195" i="21"/>
  <c r="P195" i="21"/>
  <c r="O195" i="21"/>
  <c r="N195" i="21"/>
  <c r="M195" i="21"/>
  <c r="K195" i="21"/>
  <c r="I195" i="21"/>
  <c r="H195" i="21"/>
  <c r="L194" i="21"/>
  <c r="L195" i="21" s="1"/>
  <c r="J194" i="21"/>
  <c r="S191" i="21"/>
  <c r="R191" i="21"/>
  <c r="Q191" i="21"/>
  <c r="P191" i="21"/>
  <c r="O191" i="21"/>
  <c r="N191" i="21"/>
  <c r="M191" i="21"/>
  <c r="K191" i="21"/>
  <c r="I191" i="21"/>
  <c r="H191" i="21"/>
  <c r="L190" i="21"/>
  <c r="J190" i="21"/>
  <c r="L189" i="21"/>
  <c r="J189" i="21"/>
  <c r="L188" i="21"/>
  <c r="J188" i="21"/>
  <c r="L187" i="21"/>
  <c r="J187" i="21"/>
  <c r="L186" i="21"/>
  <c r="J186" i="21"/>
  <c r="L185" i="21"/>
  <c r="J185" i="21"/>
  <c r="L184" i="21"/>
  <c r="J184" i="21"/>
  <c r="L183" i="21"/>
  <c r="J183" i="21"/>
  <c r="L182" i="21"/>
  <c r="J182" i="21"/>
  <c r="L181" i="21"/>
  <c r="J181" i="21"/>
  <c r="L180" i="21"/>
  <c r="J180" i="21"/>
  <c r="L179" i="21"/>
  <c r="J179" i="21"/>
  <c r="L178" i="21"/>
  <c r="J178" i="21"/>
  <c r="L177" i="21"/>
  <c r="J177" i="21"/>
  <c r="L176" i="21"/>
  <c r="J176" i="21"/>
  <c r="L175" i="21"/>
  <c r="L191" i="21" s="1"/>
  <c r="J175" i="21"/>
  <c r="S172" i="21"/>
  <c r="R172" i="21"/>
  <c r="Q172" i="21"/>
  <c r="P172" i="21"/>
  <c r="O172" i="21"/>
  <c r="N172" i="21"/>
  <c r="M172" i="21"/>
  <c r="K172" i="21"/>
  <c r="H172" i="21"/>
  <c r="L171" i="21"/>
  <c r="J171" i="21"/>
  <c r="L170" i="21"/>
  <c r="J170" i="21"/>
  <c r="I169" i="21"/>
  <c r="I172" i="21" s="1"/>
  <c r="L168" i="21"/>
  <c r="J168" i="21"/>
  <c r="L167" i="21"/>
  <c r="J167" i="21"/>
  <c r="J166" i="21"/>
  <c r="I166" i="21"/>
  <c r="L166" i="21" s="1"/>
  <c r="S163" i="21"/>
  <c r="R163" i="21"/>
  <c r="Q163" i="21"/>
  <c r="P163" i="21"/>
  <c r="O163" i="21"/>
  <c r="N163" i="21"/>
  <c r="M163" i="21"/>
  <c r="K163" i="21"/>
  <c r="I163" i="21"/>
  <c r="H163" i="21"/>
  <c r="L162" i="21"/>
  <c r="J162" i="21"/>
  <c r="L161" i="21"/>
  <c r="J161" i="21"/>
  <c r="L160" i="21"/>
  <c r="J160" i="21"/>
  <c r="L159" i="21"/>
  <c r="J159" i="21"/>
  <c r="L158" i="21"/>
  <c r="J158" i="21"/>
  <c r="L157" i="21"/>
  <c r="J157" i="21"/>
  <c r="L156" i="21"/>
  <c r="J156" i="21"/>
  <c r="L155" i="21"/>
  <c r="J155" i="21"/>
  <c r="L154" i="21"/>
  <c r="J154" i="21"/>
  <c r="L153" i="21"/>
  <c r="J153" i="21"/>
  <c r="L152" i="21"/>
  <c r="J152" i="21"/>
  <c r="L151" i="21"/>
  <c r="J151" i="21"/>
  <c r="L150" i="21"/>
  <c r="J150" i="21"/>
  <c r="L149" i="21"/>
  <c r="J149" i="21"/>
  <c r="L148" i="21"/>
  <c r="J148" i="21"/>
  <c r="L147" i="21"/>
  <c r="J147" i="21"/>
  <c r="L146" i="21"/>
  <c r="J146" i="21"/>
  <c r="L145" i="21"/>
  <c r="J145" i="21"/>
  <c r="L144" i="21"/>
  <c r="J144" i="21"/>
  <c r="L143" i="21"/>
  <c r="J143" i="21"/>
  <c r="L142" i="21"/>
  <c r="J142" i="21"/>
  <c r="L141" i="21"/>
  <c r="J141" i="21"/>
  <c r="L140" i="21"/>
  <c r="J140" i="21"/>
  <c r="L139" i="21"/>
  <c r="J139" i="21"/>
  <c r="L138" i="21"/>
  <c r="J138" i="21"/>
  <c r="L137" i="21"/>
  <c r="J137" i="21"/>
  <c r="L136" i="21"/>
  <c r="J136" i="21"/>
  <c r="L135" i="21"/>
  <c r="J135" i="21"/>
  <c r="L134" i="21"/>
  <c r="J134" i="21"/>
  <c r="L133" i="21"/>
  <c r="J133" i="21"/>
  <c r="L132" i="21"/>
  <c r="J132" i="21"/>
  <c r="L131" i="21"/>
  <c r="J131" i="21"/>
  <c r="L130" i="21"/>
  <c r="J130" i="21"/>
  <c r="L129" i="21"/>
  <c r="J129" i="21"/>
  <c r="L128" i="21"/>
  <c r="J128" i="21"/>
  <c r="L127" i="21"/>
  <c r="J127" i="21"/>
  <c r="L126" i="21"/>
  <c r="J126" i="21"/>
  <c r="L125" i="21"/>
  <c r="J125" i="21"/>
  <c r="L124" i="21"/>
  <c r="J124" i="21"/>
  <c r="L123" i="21"/>
  <c r="J123" i="21"/>
  <c r="L122" i="21"/>
  <c r="J122" i="21"/>
  <c r="L121" i="21"/>
  <c r="J121" i="21"/>
  <c r="L120" i="21"/>
  <c r="J120" i="21"/>
  <c r="L119" i="21"/>
  <c r="J119" i="21"/>
  <c r="L118" i="21"/>
  <c r="J118" i="21"/>
  <c r="L117" i="21"/>
  <c r="J117" i="21"/>
  <c r="L116" i="21"/>
  <c r="J116" i="21"/>
  <c r="L115" i="21"/>
  <c r="J115" i="21"/>
  <c r="L114" i="21"/>
  <c r="J114" i="21"/>
  <c r="L113" i="21"/>
  <c r="J113" i="21"/>
  <c r="L112" i="21"/>
  <c r="J112" i="21"/>
  <c r="L111" i="21"/>
  <c r="J111" i="21"/>
  <c r="L110" i="21"/>
  <c r="J110" i="21"/>
  <c r="L109" i="21"/>
  <c r="J109" i="21"/>
  <c r="L108" i="21"/>
  <c r="J108" i="21"/>
  <c r="L107" i="21"/>
  <c r="J107" i="21"/>
  <c r="L106" i="21"/>
  <c r="J106" i="21"/>
  <c r="L105" i="21"/>
  <c r="J105" i="21"/>
  <c r="L104" i="21"/>
  <c r="J104" i="21"/>
  <c r="L103" i="21"/>
  <c r="J103" i="21"/>
  <c r="L102" i="21"/>
  <c r="J102" i="21"/>
  <c r="L101" i="21"/>
  <c r="J101" i="21"/>
  <c r="L100" i="21"/>
  <c r="J100" i="21"/>
  <c r="L99" i="21"/>
  <c r="J99" i="21"/>
  <c r="L98" i="21"/>
  <c r="J98" i="21"/>
  <c r="L97" i="21"/>
  <c r="J97" i="21"/>
  <c r="L96" i="21"/>
  <c r="J96" i="21"/>
  <c r="L95" i="21"/>
  <c r="J95" i="21"/>
  <c r="L94" i="21"/>
  <c r="J94" i="21"/>
  <c r="L93" i="21"/>
  <c r="J93" i="21"/>
  <c r="L92" i="21"/>
  <c r="J92" i="21"/>
  <c r="L91" i="21"/>
  <c r="J91" i="21"/>
  <c r="L90" i="21"/>
  <c r="J90" i="21"/>
  <c r="L89" i="21"/>
  <c r="J89" i="21"/>
  <c r="L88" i="21"/>
  <c r="J88" i="21"/>
  <c r="L87" i="21"/>
  <c r="J87" i="21"/>
  <c r="L86" i="21"/>
  <c r="J86" i="21"/>
  <c r="L85" i="21"/>
  <c r="J85" i="21"/>
  <c r="L84" i="21"/>
  <c r="J84" i="21"/>
  <c r="L83" i="21"/>
  <c r="J83" i="21"/>
  <c r="L82" i="21"/>
  <c r="J82" i="21"/>
  <c r="L81" i="21"/>
  <c r="J81" i="21"/>
  <c r="L80" i="21"/>
  <c r="J80" i="21"/>
  <c r="L79" i="21"/>
  <c r="J79" i="21"/>
  <c r="L78" i="21"/>
  <c r="J78" i="21"/>
  <c r="L77" i="21"/>
  <c r="J77" i="21"/>
  <c r="L76" i="21"/>
  <c r="J76" i="21"/>
  <c r="L75" i="21"/>
  <c r="J75" i="21"/>
  <c r="L74" i="21"/>
  <c r="J74" i="21"/>
  <c r="L73" i="21"/>
  <c r="J73" i="21"/>
  <c r="L72" i="21"/>
  <c r="J72" i="21"/>
  <c r="L71" i="21"/>
  <c r="J71" i="21"/>
  <c r="L70" i="21"/>
  <c r="J70" i="21"/>
  <c r="L69" i="21"/>
  <c r="J69" i="21"/>
  <c r="L68" i="21"/>
  <c r="J68" i="21"/>
  <c r="L67" i="21"/>
  <c r="J67" i="21"/>
  <c r="L66" i="21"/>
  <c r="J66" i="21"/>
  <c r="L65" i="21"/>
  <c r="J65" i="21"/>
  <c r="L64" i="21"/>
  <c r="J64" i="21"/>
  <c r="L63" i="21"/>
  <c r="J63" i="21"/>
  <c r="L62" i="21"/>
  <c r="J62" i="21"/>
  <c r="L61" i="21"/>
  <c r="J61" i="21"/>
  <c r="L60" i="21"/>
  <c r="J60" i="21"/>
  <c r="L59" i="21"/>
  <c r="J59" i="21"/>
  <c r="L58" i="21"/>
  <c r="J58" i="21"/>
  <c r="L57" i="21"/>
  <c r="J57" i="21"/>
  <c r="L56" i="21"/>
  <c r="J56" i="21"/>
  <c r="L55" i="21"/>
  <c r="J55" i="21"/>
  <c r="L54" i="21"/>
  <c r="J54" i="21"/>
  <c r="L53" i="21"/>
  <c r="J53" i="21"/>
  <c r="L52" i="21"/>
  <c r="J52" i="21"/>
  <c r="L51" i="21"/>
  <c r="J51" i="21"/>
  <c r="L50" i="21"/>
  <c r="J50" i="21"/>
  <c r="L49" i="21"/>
  <c r="J49" i="21"/>
  <c r="L48" i="21"/>
  <c r="J48" i="21"/>
  <c r="L47" i="21"/>
  <c r="J47" i="21"/>
  <c r="L46" i="21"/>
  <c r="J46" i="21"/>
  <c r="L45" i="21"/>
  <c r="J45" i="21"/>
  <c r="L44" i="21"/>
  <c r="J44" i="21"/>
  <c r="L43" i="21"/>
  <c r="J43" i="21"/>
  <c r="S40" i="21"/>
  <c r="S206" i="21" s="1"/>
  <c r="R40" i="21"/>
  <c r="Q40" i="21"/>
  <c r="Q206" i="21" s="1"/>
  <c r="P40" i="21"/>
  <c r="O40" i="21"/>
  <c r="O206" i="21" s="1"/>
  <c r="N40" i="21"/>
  <c r="M40" i="21"/>
  <c r="M206" i="21" s="1"/>
  <c r="K40" i="21"/>
  <c r="K206" i="21" s="1"/>
  <c r="H40" i="21"/>
  <c r="J39" i="21"/>
  <c r="I39" i="21"/>
  <c r="L39" i="21" s="1"/>
  <c r="I38" i="21"/>
  <c r="L38" i="21" s="1"/>
  <c r="I37" i="21"/>
  <c r="L37" i="21" s="1"/>
  <c r="J36" i="21"/>
  <c r="I36" i="21"/>
  <c r="L36" i="21" s="1"/>
  <c r="I35" i="21"/>
  <c r="L35" i="21" s="1"/>
  <c r="I34" i="21"/>
  <c r="J34" i="21" s="1"/>
  <c r="J33" i="21"/>
  <c r="I33" i="21"/>
  <c r="L33" i="21" s="1"/>
  <c r="L32" i="21"/>
  <c r="J32" i="21"/>
  <c r="I32" i="21"/>
  <c r="I31" i="21"/>
  <c r="L31" i="21" s="1"/>
  <c r="I30" i="21"/>
  <c r="L30" i="21" s="1"/>
  <c r="I29" i="21"/>
  <c r="L29" i="21" s="1"/>
  <c r="L28" i="21"/>
  <c r="I28" i="21"/>
  <c r="J28" i="21" s="1"/>
  <c r="I27" i="21"/>
  <c r="L27" i="21" s="1"/>
  <c r="I26" i="21"/>
  <c r="L26" i="21" s="1"/>
  <c r="I25" i="21"/>
  <c r="L25" i="21" s="1"/>
  <c r="I24" i="21"/>
  <c r="L24" i="21" s="1"/>
  <c r="L23" i="21"/>
  <c r="I23" i="21"/>
  <c r="J23" i="21" s="1"/>
  <c r="I22" i="21"/>
  <c r="L22" i="21" s="1"/>
  <c r="I21" i="21"/>
  <c r="L21" i="21" s="1"/>
  <c r="L20" i="21"/>
  <c r="J20" i="21"/>
  <c r="I20" i="21"/>
  <c r="I19" i="21"/>
  <c r="L19" i="21" s="1"/>
  <c r="I18" i="21"/>
  <c r="J18" i="21" s="1"/>
  <c r="I17" i="21"/>
  <c r="L17" i="21" s="1"/>
  <c r="L16" i="21"/>
  <c r="J16" i="21"/>
  <c r="I16" i="21"/>
  <c r="I15" i="21"/>
  <c r="L15" i="21" s="1"/>
  <c r="I14" i="21"/>
  <c r="L14" i="21" s="1"/>
  <c r="I13" i="21"/>
  <c r="L13" i="21" s="1"/>
  <c r="I12" i="21"/>
  <c r="J12" i="21" s="1"/>
  <c r="I11" i="21"/>
  <c r="L11" i="21" s="1"/>
  <c r="I10" i="21"/>
  <c r="L10" i="21" s="1"/>
  <c r="I9" i="21"/>
  <c r="L9" i="21" s="1"/>
  <c r="I8" i="21"/>
  <c r="L8" i="21" s="1"/>
  <c r="I7" i="21"/>
  <c r="L7" i="21" s="1"/>
  <c r="I6" i="21"/>
  <c r="L6" i="21" s="1"/>
  <c r="I5" i="21"/>
  <c r="L5" i="21" s="1"/>
  <c r="L4" i="21"/>
  <c r="J4" i="21"/>
  <c r="I4" i="21"/>
  <c r="I129" i="18"/>
  <c r="E15" i="23" s="1"/>
  <c r="L126" i="18"/>
  <c r="L129" i="18" s="1"/>
  <c r="N126" i="18"/>
  <c r="N129" i="18" s="1"/>
  <c r="O126" i="18"/>
  <c r="O129" i="18" s="1"/>
  <c r="P126" i="18"/>
  <c r="P129" i="18" s="1"/>
  <c r="Q126" i="18"/>
  <c r="Q129" i="18" s="1"/>
  <c r="R126" i="18"/>
  <c r="R129" i="18" s="1"/>
  <c r="S126" i="18"/>
  <c r="S129" i="18" s="1"/>
  <c r="S16" i="22" s="1"/>
  <c r="T126" i="18"/>
  <c r="T129" i="18" s="1"/>
  <c r="M53" i="19"/>
  <c r="K53" i="19"/>
  <c r="M52" i="19"/>
  <c r="K52" i="19"/>
  <c r="J51" i="19"/>
  <c r="M51" i="19" s="1"/>
  <c r="M50" i="19"/>
  <c r="K50" i="19"/>
  <c r="M49" i="19"/>
  <c r="K49" i="19"/>
  <c r="J48" i="19"/>
  <c r="M48" i="19" s="1"/>
  <c r="J126" i="18"/>
  <c r="J129" i="18" s="1"/>
  <c r="J16" i="22" s="1"/>
  <c r="L43" i="19"/>
  <c r="N43" i="19"/>
  <c r="O43" i="19"/>
  <c r="P43" i="19"/>
  <c r="Q43" i="19"/>
  <c r="R43" i="19"/>
  <c r="S43" i="19"/>
  <c r="T43" i="19"/>
  <c r="I43" i="19"/>
  <c r="M4" i="18"/>
  <c r="T34" i="20"/>
  <c r="S34" i="20"/>
  <c r="R34" i="20"/>
  <c r="Q34" i="20"/>
  <c r="P34" i="20"/>
  <c r="O34" i="20"/>
  <c r="N34" i="20"/>
  <c r="L34" i="20"/>
  <c r="J34" i="20"/>
  <c r="I34" i="20"/>
  <c r="M33" i="20"/>
  <c r="K33" i="20"/>
  <c r="M32" i="20"/>
  <c r="K32" i="20"/>
  <c r="M31" i="20"/>
  <c r="K31" i="20"/>
  <c r="M30" i="20"/>
  <c r="K30" i="20"/>
  <c r="M29" i="20"/>
  <c r="K29" i="20"/>
  <c r="T26" i="20"/>
  <c r="S26" i="20"/>
  <c r="R26" i="20"/>
  <c r="Q26" i="20"/>
  <c r="P26" i="20"/>
  <c r="O26" i="20"/>
  <c r="N26" i="20"/>
  <c r="L26" i="20"/>
  <c r="J26" i="20"/>
  <c r="I26" i="20"/>
  <c r="M25" i="20"/>
  <c r="M26" i="20" s="1"/>
  <c r="K25" i="20"/>
  <c r="T22" i="20"/>
  <c r="S22" i="20"/>
  <c r="R22" i="20"/>
  <c r="Q22" i="20"/>
  <c r="P22" i="20"/>
  <c r="O22" i="20"/>
  <c r="N22" i="20"/>
  <c r="L22" i="20"/>
  <c r="J22" i="20"/>
  <c r="I22" i="20"/>
  <c r="M21" i="20"/>
  <c r="K21" i="20"/>
  <c r="M20" i="20"/>
  <c r="K20" i="20"/>
  <c r="M19" i="20"/>
  <c r="K19" i="20"/>
  <c r="M18" i="20"/>
  <c r="K18" i="20"/>
  <c r="M17" i="20"/>
  <c r="K17" i="20"/>
  <c r="M16" i="20"/>
  <c r="K16" i="20"/>
  <c r="M15" i="20"/>
  <c r="K15" i="20"/>
  <c r="M14" i="20"/>
  <c r="K14" i="20"/>
  <c r="M13" i="20"/>
  <c r="K13" i="20"/>
  <c r="M12" i="20"/>
  <c r="K12" i="20"/>
  <c r="M11" i="20"/>
  <c r="K11" i="20"/>
  <c r="M10" i="20"/>
  <c r="K10" i="20"/>
  <c r="M9" i="20"/>
  <c r="K9" i="20"/>
  <c r="M8" i="20"/>
  <c r="K8" i="20"/>
  <c r="M7" i="20"/>
  <c r="K7" i="20"/>
  <c r="M6" i="20"/>
  <c r="K6" i="20"/>
  <c r="J42" i="19"/>
  <c r="M42" i="19" s="1"/>
  <c r="J41" i="19"/>
  <c r="M41" i="19" s="1"/>
  <c r="J40" i="19"/>
  <c r="K40" i="19" s="1"/>
  <c r="J39" i="19"/>
  <c r="M39" i="19" s="1"/>
  <c r="J38" i="19"/>
  <c r="K38" i="19" s="1"/>
  <c r="J37" i="19"/>
  <c r="K37" i="19" s="1"/>
  <c r="J36" i="19"/>
  <c r="M36" i="19" s="1"/>
  <c r="J35" i="19"/>
  <c r="M35" i="19" s="1"/>
  <c r="J34" i="19"/>
  <c r="M34" i="19" s="1"/>
  <c r="J33" i="19"/>
  <c r="K33" i="19" s="1"/>
  <c r="J32" i="19"/>
  <c r="K32" i="19" s="1"/>
  <c r="J31" i="19"/>
  <c r="M31" i="19" s="1"/>
  <c r="J30" i="19"/>
  <c r="K30" i="19" s="1"/>
  <c r="J29" i="19"/>
  <c r="M29" i="19" s="1"/>
  <c r="J28" i="19"/>
  <c r="M28" i="19" s="1"/>
  <c r="J27" i="19"/>
  <c r="M27" i="19" s="1"/>
  <c r="J26" i="19"/>
  <c r="K26" i="19" s="1"/>
  <c r="J25" i="19"/>
  <c r="M25" i="19" s="1"/>
  <c r="J24" i="19"/>
  <c r="M24" i="19" s="1"/>
  <c r="J23" i="19"/>
  <c r="K23" i="19" s="1"/>
  <c r="J22" i="19"/>
  <c r="M22" i="19" s="1"/>
  <c r="J21" i="19"/>
  <c r="M21" i="19" s="1"/>
  <c r="J20" i="19"/>
  <c r="M20" i="19" s="1"/>
  <c r="J19" i="19"/>
  <c r="M19" i="19" s="1"/>
  <c r="J18" i="19"/>
  <c r="K18" i="19" s="1"/>
  <c r="J17" i="19"/>
  <c r="M17" i="19" s="1"/>
  <c r="J16" i="19"/>
  <c r="M16" i="19" s="1"/>
  <c r="J15" i="19"/>
  <c r="M15" i="19" s="1"/>
  <c r="J14" i="19"/>
  <c r="M14" i="19" s="1"/>
  <c r="J13" i="19"/>
  <c r="M13" i="19" s="1"/>
  <c r="J12" i="19"/>
  <c r="M12" i="19" s="1"/>
  <c r="J11" i="19"/>
  <c r="J10" i="19"/>
  <c r="K10" i="19" s="1"/>
  <c r="J9" i="19"/>
  <c r="M9" i="19" s="1"/>
  <c r="J8" i="19"/>
  <c r="M8" i="19" s="1"/>
  <c r="M7" i="19"/>
  <c r="M125" i="18"/>
  <c r="K125" i="18"/>
  <c r="M124" i="18"/>
  <c r="K124" i="18"/>
  <c r="M123" i="18"/>
  <c r="K123" i="18"/>
  <c r="M122" i="18"/>
  <c r="K122" i="18"/>
  <c r="M121" i="18"/>
  <c r="K121" i="18"/>
  <c r="M120" i="18"/>
  <c r="K120" i="18"/>
  <c r="M119" i="18"/>
  <c r="K119" i="18"/>
  <c r="M118" i="18"/>
  <c r="K118" i="18"/>
  <c r="M117" i="18"/>
  <c r="K117" i="18"/>
  <c r="M116" i="18"/>
  <c r="K116" i="18"/>
  <c r="M115" i="18"/>
  <c r="K115" i="18"/>
  <c r="M114" i="18"/>
  <c r="K114" i="18"/>
  <c r="M113" i="18"/>
  <c r="K113" i="18"/>
  <c r="M112" i="18"/>
  <c r="K112" i="18"/>
  <c r="M111" i="18"/>
  <c r="K111" i="18"/>
  <c r="M110" i="18"/>
  <c r="K110" i="18"/>
  <c r="M109" i="18"/>
  <c r="K109" i="18"/>
  <c r="M108" i="18"/>
  <c r="K108" i="18"/>
  <c r="M107" i="18"/>
  <c r="K107" i="18"/>
  <c r="M106" i="18"/>
  <c r="K106" i="18"/>
  <c r="M105" i="18"/>
  <c r="K105" i="18"/>
  <c r="M104" i="18"/>
  <c r="K104" i="18"/>
  <c r="M103" i="18"/>
  <c r="K103" i="18"/>
  <c r="M102" i="18"/>
  <c r="K102" i="18"/>
  <c r="M101" i="18"/>
  <c r="K101" i="18"/>
  <c r="M100" i="18"/>
  <c r="K100" i="18"/>
  <c r="M99" i="18"/>
  <c r="K99" i="18"/>
  <c r="M98" i="18"/>
  <c r="K98" i="18"/>
  <c r="M97" i="18"/>
  <c r="K97" i="18"/>
  <c r="M96" i="18"/>
  <c r="K96" i="18"/>
  <c r="M95" i="18"/>
  <c r="K95" i="18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M86" i="18"/>
  <c r="K86" i="18"/>
  <c r="M85" i="18"/>
  <c r="K85" i="18"/>
  <c r="M84" i="18"/>
  <c r="K84" i="18"/>
  <c r="M83" i="18"/>
  <c r="K83" i="18"/>
  <c r="M82" i="18"/>
  <c r="K82" i="18"/>
  <c r="M81" i="18"/>
  <c r="K81" i="18"/>
  <c r="M80" i="18"/>
  <c r="K80" i="18"/>
  <c r="M79" i="18"/>
  <c r="K79" i="18"/>
  <c r="M78" i="18"/>
  <c r="K78" i="18"/>
  <c r="M77" i="18"/>
  <c r="K77" i="18"/>
  <c r="M76" i="18"/>
  <c r="K76" i="18"/>
  <c r="M75" i="18"/>
  <c r="K75" i="18"/>
  <c r="M74" i="18"/>
  <c r="K74" i="18"/>
  <c r="M73" i="18"/>
  <c r="K73" i="18"/>
  <c r="M72" i="18"/>
  <c r="K72" i="18"/>
  <c r="M71" i="18"/>
  <c r="K71" i="18"/>
  <c r="M70" i="18"/>
  <c r="K70" i="18"/>
  <c r="M69" i="18"/>
  <c r="K69" i="18"/>
  <c r="M68" i="18"/>
  <c r="K68" i="18"/>
  <c r="M67" i="18"/>
  <c r="K67" i="18"/>
  <c r="M66" i="18"/>
  <c r="K66" i="18"/>
  <c r="M65" i="18"/>
  <c r="K65" i="18"/>
  <c r="M64" i="18"/>
  <c r="K64" i="18"/>
  <c r="M63" i="18"/>
  <c r="K63" i="18"/>
  <c r="M62" i="18"/>
  <c r="K62" i="18"/>
  <c r="M61" i="18"/>
  <c r="K61" i="18"/>
  <c r="M60" i="18"/>
  <c r="K60" i="18"/>
  <c r="M59" i="18"/>
  <c r="K59" i="18"/>
  <c r="M58" i="18"/>
  <c r="K58" i="18"/>
  <c r="M57" i="18"/>
  <c r="K57" i="18"/>
  <c r="M56" i="18"/>
  <c r="K56" i="18"/>
  <c r="M55" i="18"/>
  <c r="K55" i="18"/>
  <c r="M54" i="18"/>
  <c r="K54" i="18"/>
  <c r="M53" i="18"/>
  <c r="K53" i="18"/>
  <c r="M52" i="18"/>
  <c r="K52" i="18"/>
  <c r="M51" i="18"/>
  <c r="K51" i="18"/>
  <c r="M50" i="18"/>
  <c r="K50" i="18"/>
  <c r="M49" i="18"/>
  <c r="K49" i="18"/>
  <c r="M48" i="18"/>
  <c r="K48" i="18"/>
  <c r="M47" i="18"/>
  <c r="K47" i="18"/>
  <c r="M46" i="18"/>
  <c r="K46" i="18"/>
  <c r="M45" i="18"/>
  <c r="K45" i="18"/>
  <c r="M44" i="18"/>
  <c r="K44" i="18"/>
  <c r="M43" i="18"/>
  <c r="K43" i="18"/>
  <c r="M42" i="18"/>
  <c r="K42" i="18"/>
  <c r="M41" i="18"/>
  <c r="K41" i="18"/>
  <c r="M40" i="18"/>
  <c r="K40" i="18"/>
  <c r="M39" i="18"/>
  <c r="K39" i="18"/>
  <c r="M38" i="18"/>
  <c r="K38" i="18"/>
  <c r="M37" i="18"/>
  <c r="K37" i="18"/>
  <c r="M36" i="18"/>
  <c r="K36" i="18"/>
  <c r="M35" i="18"/>
  <c r="K35" i="18"/>
  <c r="M34" i="18"/>
  <c r="K34" i="18"/>
  <c r="M33" i="18"/>
  <c r="K33" i="18"/>
  <c r="M32" i="18"/>
  <c r="K32" i="18"/>
  <c r="M31" i="18"/>
  <c r="K31" i="18"/>
  <c r="M30" i="18"/>
  <c r="K30" i="18"/>
  <c r="M29" i="18"/>
  <c r="K29" i="18"/>
  <c r="M28" i="18"/>
  <c r="K28" i="18"/>
  <c r="M27" i="18"/>
  <c r="K27" i="18"/>
  <c r="M26" i="18"/>
  <c r="K26" i="18"/>
  <c r="M25" i="18"/>
  <c r="K25" i="18"/>
  <c r="M24" i="18"/>
  <c r="K24" i="18"/>
  <c r="M23" i="18"/>
  <c r="K23" i="18"/>
  <c r="M22" i="18"/>
  <c r="K22" i="18"/>
  <c r="M21" i="18"/>
  <c r="K21" i="18"/>
  <c r="M20" i="18"/>
  <c r="K20" i="18"/>
  <c r="M19" i="18"/>
  <c r="K19" i="18"/>
  <c r="M18" i="18"/>
  <c r="K18" i="18"/>
  <c r="M17" i="18"/>
  <c r="K17" i="18"/>
  <c r="M16" i="18"/>
  <c r="K16" i="18"/>
  <c r="M15" i="18"/>
  <c r="K15" i="18"/>
  <c r="M14" i="18"/>
  <c r="K14" i="18"/>
  <c r="M13" i="18"/>
  <c r="K13" i="18"/>
  <c r="M12" i="18"/>
  <c r="K12" i="18"/>
  <c r="M11" i="18"/>
  <c r="K11" i="18"/>
  <c r="M10" i="18"/>
  <c r="K10" i="18"/>
  <c r="M9" i="18"/>
  <c r="K9" i="18"/>
  <c r="M8" i="18"/>
  <c r="K8" i="18"/>
  <c r="M7" i="18"/>
  <c r="K7" i="18"/>
  <c r="M6" i="18"/>
  <c r="K6" i="18"/>
  <c r="S56" i="19" l="1"/>
  <c r="C25" i="23"/>
  <c r="L12" i="21"/>
  <c r="R56" i="19"/>
  <c r="J7" i="21"/>
  <c r="J17" i="21"/>
  <c r="N206" i="21"/>
  <c r="J163" i="21"/>
  <c r="T56" i="19"/>
  <c r="C26" i="23"/>
  <c r="L163" i="21"/>
  <c r="J14" i="21"/>
  <c r="P206" i="21"/>
  <c r="I15" i="22"/>
  <c r="D15" i="23"/>
  <c r="R206" i="21"/>
  <c r="J191" i="21"/>
  <c r="I14" i="22"/>
  <c r="C15" i="23"/>
  <c r="H206" i="21"/>
  <c r="F17" i="23"/>
  <c r="G15" i="23"/>
  <c r="I17" i="22"/>
  <c r="I18" i="22" s="1"/>
  <c r="H18" i="22"/>
  <c r="M59" i="27"/>
  <c r="K59" i="27"/>
  <c r="K31" i="27"/>
  <c r="M31" i="27"/>
  <c r="T14" i="22"/>
  <c r="T18" i="22" s="1"/>
  <c r="I56" i="19"/>
  <c r="Q56" i="19"/>
  <c r="P56" i="19"/>
  <c r="O56" i="19"/>
  <c r="N56" i="19"/>
  <c r="L56" i="19"/>
  <c r="I37" i="20"/>
  <c r="J37" i="20"/>
  <c r="M54" i="19"/>
  <c r="D19" i="23" s="1"/>
  <c r="S14" i="22"/>
  <c r="S18" i="22" s="1"/>
  <c r="J54" i="19"/>
  <c r="R14" i="22"/>
  <c r="R18" i="22" s="1"/>
  <c r="N14" i="22"/>
  <c r="N18" i="22" s="1"/>
  <c r="Q14" i="22"/>
  <c r="Q18" i="22" s="1"/>
  <c r="O14" i="22"/>
  <c r="O18" i="22" s="1"/>
  <c r="L14" i="22"/>
  <c r="L18" i="22" s="1"/>
  <c r="P14" i="22"/>
  <c r="P18" i="22" s="1"/>
  <c r="K22" i="20"/>
  <c r="M22" i="20"/>
  <c r="K34" i="20"/>
  <c r="M34" i="20"/>
  <c r="J172" i="21"/>
  <c r="J13" i="21"/>
  <c r="L18" i="21"/>
  <c r="J29" i="21"/>
  <c r="L34" i="21"/>
  <c r="J169" i="21"/>
  <c r="J8" i="21"/>
  <c r="J24" i="21"/>
  <c r="I40" i="21"/>
  <c r="I206" i="21" s="1"/>
  <c r="L169" i="21"/>
  <c r="L172" i="21" s="1"/>
  <c r="J19" i="21"/>
  <c r="J35" i="21"/>
  <c r="J30" i="21"/>
  <c r="J9" i="21"/>
  <c r="J25" i="21"/>
  <c r="J15" i="21"/>
  <c r="J31" i="21"/>
  <c r="J10" i="21"/>
  <c r="J26" i="21"/>
  <c r="J5" i="21"/>
  <c r="J21" i="21"/>
  <c r="J37" i="21"/>
  <c r="J11" i="21"/>
  <c r="J27" i="21"/>
  <c r="J6" i="21"/>
  <c r="J22" i="21"/>
  <c r="J38" i="21"/>
  <c r="K126" i="18"/>
  <c r="K129" i="18" s="1"/>
  <c r="M126" i="18"/>
  <c r="M129" i="18" s="1"/>
  <c r="K48" i="19"/>
  <c r="K51" i="19"/>
  <c r="J43" i="19"/>
  <c r="C16" i="23" s="1"/>
  <c r="M10" i="19"/>
  <c r="K15" i="19"/>
  <c r="K42" i="19"/>
  <c r="K31" i="19"/>
  <c r="M26" i="19"/>
  <c r="K22" i="19"/>
  <c r="M32" i="19"/>
  <c r="K27" i="19"/>
  <c r="M38" i="19"/>
  <c r="K21" i="19"/>
  <c r="K16" i="19"/>
  <c r="K17" i="19"/>
  <c r="K7" i="19"/>
  <c r="M18" i="19"/>
  <c r="K39" i="19"/>
  <c r="K13" i="19"/>
  <c r="K24" i="19"/>
  <c r="M37" i="19"/>
  <c r="K11" i="19"/>
  <c r="M23" i="19"/>
  <c r="K8" i="19"/>
  <c r="K35" i="19"/>
  <c r="M33" i="19"/>
  <c r="K29" i="19"/>
  <c r="M40" i="19"/>
  <c r="K14" i="19"/>
  <c r="M11" i="19"/>
  <c r="K12" i="19"/>
  <c r="K19" i="19"/>
  <c r="K9" i="19"/>
  <c r="K25" i="19"/>
  <c r="M30" i="19"/>
  <c r="K41" i="19"/>
  <c r="K20" i="19"/>
  <c r="K36" i="19"/>
  <c r="K28" i="19"/>
  <c r="L40" i="21" l="1"/>
  <c r="J15" i="22"/>
  <c r="D16" i="23"/>
  <c r="D17" i="23" s="1"/>
  <c r="C17" i="23"/>
  <c r="M16" i="22"/>
  <c r="E19" i="23"/>
  <c r="E27" i="23" s="1"/>
  <c r="K16" i="22"/>
  <c r="E16" i="23"/>
  <c r="K75" i="27"/>
  <c r="M75" i="27"/>
  <c r="M17" i="22" s="1"/>
  <c r="K37" i="20"/>
  <c r="K41" i="20" s="1"/>
  <c r="M37" i="20"/>
  <c r="J56" i="19"/>
  <c r="K54" i="19"/>
  <c r="J14" i="22"/>
  <c r="J18" i="22" s="1"/>
  <c r="L206" i="21"/>
  <c r="J40" i="21"/>
  <c r="J206" i="21" s="1"/>
  <c r="J210" i="21" s="1"/>
  <c r="K15" i="22"/>
  <c r="K43" i="19"/>
  <c r="K56" i="19" s="1"/>
  <c r="M43" i="19"/>
  <c r="M56" i="19" s="1"/>
  <c r="M15" i="22" s="1"/>
  <c r="D27" i="23" l="1"/>
  <c r="G17" i="23"/>
  <c r="G16" i="23"/>
  <c r="F19" i="23"/>
  <c r="M14" i="22"/>
  <c r="M18" i="22" s="1"/>
  <c r="K14" i="22"/>
  <c r="K18" i="22" s="1"/>
  <c r="F27" i="23" l="1"/>
  <c r="K200" i="15"/>
  <c r="K201" i="15"/>
  <c r="K202" i="15"/>
  <c r="K203" i="15"/>
  <c r="K199" i="15"/>
  <c r="K195" i="15"/>
  <c r="K196" i="15" s="1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76" i="15"/>
  <c r="K168" i="15"/>
  <c r="K169" i="15"/>
  <c r="K171" i="15"/>
  <c r="K172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44" i="15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2" i="17"/>
  <c r="K164" i="15" l="1"/>
  <c r="K192" i="15"/>
  <c r="K204" i="15"/>
  <c r="J41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J204" i="15" l="1"/>
  <c r="L204" i="15"/>
  <c r="N204" i="15"/>
  <c r="O204" i="15"/>
  <c r="P204" i="15"/>
  <c r="Q204" i="15"/>
  <c r="R204" i="15"/>
  <c r="S204" i="15"/>
  <c r="T204" i="15"/>
  <c r="I204" i="15"/>
  <c r="J196" i="15"/>
  <c r="L196" i="15"/>
  <c r="N196" i="15"/>
  <c r="O196" i="15"/>
  <c r="P196" i="15"/>
  <c r="Q196" i="15"/>
  <c r="R196" i="15"/>
  <c r="S196" i="15"/>
  <c r="T196" i="15"/>
  <c r="I196" i="15"/>
  <c r="J192" i="15"/>
  <c r="L192" i="15"/>
  <c r="N192" i="15"/>
  <c r="O192" i="15"/>
  <c r="P192" i="15"/>
  <c r="Q192" i="15"/>
  <c r="R192" i="15"/>
  <c r="S192" i="15"/>
  <c r="T192" i="15"/>
  <c r="I192" i="15"/>
  <c r="M200" i="15"/>
  <c r="M201" i="15"/>
  <c r="M202" i="15"/>
  <c r="M203" i="15"/>
  <c r="M199" i="15"/>
  <c r="M204" i="15" l="1"/>
  <c r="M195" i="15"/>
  <c r="M196" i="15" s="1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76" i="15"/>
  <c r="M192" i="15" l="1"/>
  <c r="L41" i="15"/>
  <c r="S41" i="15"/>
  <c r="T41" i="15"/>
  <c r="I41" i="15"/>
  <c r="I164" i="15"/>
  <c r="L164" i="15"/>
  <c r="N164" i="15"/>
  <c r="O164" i="15"/>
  <c r="P164" i="15"/>
  <c r="Q164" i="15"/>
  <c r="R164" i="15"/>
  <c r="S164" i="15"/>
  <c r="T164" i="15"/>
  <c r="L173" i="15"/>
  <c r="N173" i="15"/>
  <c r="O173" i="15"/>
  <c r="P173" i="15"/>
  <c r="Q173" i="15"/>
  <c r="R173" i="15"/>
  <c r="S173" i="15"/>
  <c r="T173" i="15"/>
  <c r="J164" i="15"/>
  <c r="S207" i="15" l="1"/>
  <c r="R207" i="15"/>
  <c r="O207" i="15"/>
  <c r="N207" i="15"/>
  <c r="Q207" i="15"/>
  <c r="L207" i="15"/>
  <c r="T207" i="15"/>
  <c r="P207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44" i="15"/>
  <c r="M168" i="15"/>
  <c r="M169" i="15"/>
  <c r="J170" i="15"/>
  <c r="M171" i="15"/>
  <c r="M172" i="15"/>
  <c r="J167" i="15"/>
  <c r="K167" i="15" s="1"/>
  <c r="J40" i="15"/>
  <c r="J6" i="15"/>
  <c r="M6" i="15" s="1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5" i="15"/>
  <c r="K5" i="15" s="1"/>
  <c r="M9" i="15" l="1"/>
  <c r="K9" i="15"/>
  <c r="M7" i="15"/>
  <c r="K7" i="15"/>
  <c r="M24" i="15"/>
  <c r="K24" i="15"/>
  <c r="K6" i="15"/>
  <c r="M26" i="15"/>
  <c r="K26" i="15"/>
  <c r="M8" i="15"/>
  <c r="K8" i="15"/>
  <c r="M19" i="15"/>
  <c r="K19" i="15"/>
  <c r="M10" i="15"/>
  <c r="K10" i="15"/>
  <c r="M34" i="15"/>
  <c r="K34" i="15"/>
  <c r="M18" i="15"/>
  <c r="K18" i="15"/>
  <c r="M39" i="15"/>
  <c r="K39" i="15"/>
  <c r="M23" i="15"/>
  <c r="K23" i="15"/>
  <c r="M21" i="15"/>
  <c r="K21" i="15"/>
  <c r="M36" i="15"/>
  <c r="K36" i="15"/>
  <c r="M33" i="15"/>
  <c r="K33" i="15"/>
  <c r="M17" i="15"/>
  <c r="K17" i="15"/>
  <c r="M170" i="15"/>
  <c r="K170" i="15"/>
  <c r="M40" i="15"/>
  <c r="K40" i="15"/>
  <c r="M35" i="15"/>
  <c r="K35" i="15"/>
  <c r="M16" i="15"/>
  <c r="K16" i="15"/>
  <c r="M20" i="15"/>
  <c r="K20" i="15"/>
  <c r="M30" i="15"/>
  <c r="K30" i="15"/>
  <c r="M22" i="15"/>
  <c r="K22" i="15"/>
  <c r="M15" i="15"/>
  <c r="K15" i="15"/>
  <c r="M25" i="15"/>
  <c r="K25" i="15"/>
  <c r="M38" i="15"/>
  <c r="K38" i="15"/>
  <c r="M37" i="15"/>
  <c r="K37" i="15"/>
  <c r="M14" i="15"/>
  <c r="K14" i="15"/>
  <c r="M13" i="15"/>
  <c r="K13" i="15"/>
  <c r="M28" i="15"/>
  <c r="K28" i="15"/>
  <c r="M12" i="15"/>
  <c r="K12" i="15"/>
  <c r="M32" i="15"/>
  <c r="K32" i="15"/>
  <c r="M31" i="15"/>
  <c r="K31" i="15"/>
  <c r="M29" i="15"/>
  <c r="K29" i="15"/>
  <c r="M27" i="15"/>
  <c r="K27" i="15"/>
  <c r="M11" i="15"/>
  <c r="K11" i="15"/>
  <c r="M164" i="15"/>
  <c r="J41" i="15"/>
  <c r="M167" i="15"/>
  <c r="J173" i="15"/>
  <c r="M5" i="15"/>
  <c r="I173" i="15"/>
  <c r="I207" i="15" s="1"/>
  <c r="K41" i="15" l="1"/>
  <c r="M173" i="15"/>
  <c r="M41" i="15"/>
  <c r="C19" i="23" s="1"/>
  <c r="K173" i="15"/>
  <c r="K207" i="15" s="1"/>
  <c r="J207" i="15"/>
  <c r="M207" i="15"/>
  <c r="C27" i="23" l="1"/>
  <c r="G19" i="23"/>
  <c r="G27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6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DUPLICADOS EN E. PROPIOS?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DUPLICADOS EN E. PROPIOS?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60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DUPLICADOS EN E. PROPIOS?</t>
        </r>
      </text>
    </comment>
  </commentList>
</comments>
</file>

<file path=xl/sharedStrings.xml><?xml version="1.0" encoding="utf-8"?>
<sst xmlns="http://schemas.openxmlformats.org/spreadsheetml/2006/main" count="7859" uniqueCount="724">
  <si>
    <t>UNIDAD ADMINISTRATIVA SAN IGNACIO</t>
  </si>
  <si>
    <t>UNIDAD DE SERVICIOS ESPECIALES</t>
  </si>
  <si>
    <t>LOS MOCHIS</t>
  </si>
  <si>
    <t>POLICIA JUDICIAL DEL ESTADO</t>
  </si>
  <si>
    <t>GUASAVE</t>
  </si>
  <si>
    <t>CULIACAN</t>
  </si>
  <si>
    <t>HANGAR GOBIERNO DEL ESTADO DE SINALOA</t>
  </si>
  <si>
    <t>UNIDAD ADMINISTRATIVA (EN EL DORADO)</t>
  </si>
  <si>
    <t>BODEGA DE BACHIGUALATO</t>
  </si>
  <si>
    <t>CASA DE GOBIERNO (ALTATA)</t>
  </si>
  <si>
    <t>INSTALACIONES DE LA POLICIA MINISTERIAL, C4 Y SERVICIO MEDICO FORENSE.</t>
  </si>
  <si>
    <t>EL ROSARIO</t>
  </si>
  <si>
    <t>BADIRAGUATO</t>
  </si>
  <si>
    <t>UNIDAD ADMINISTRATIVA (LA CRUZ)</t>
  </si>
  <si>
    <t>UNIDAD ADMINISTRATIVA COSALA</t>
  </si>
  <si>
    <t>UNIDAD ADMINISTRATIVA GUAMUCHIL</t>
  </si>
  <si>
    <t>UNIDAD ADMINISTRATIVA MOCORITO</t>
  </si>
  <si>
    <t>UNIDAD ADMINISTRATIVA CULIACAN</t>
  </si>
  <si>
    <t>UNIDAD  ADMINISTRATIVA ANGOSTURA</t>
  </si>
  <si>
    <t>UNIDAD ADMINISTRATIVA ESCUINAPA</t>
  </si>
  <si>
    <t>UNIDAD ADMINISTRATIVA SINALOA DE LEYVA</t>
  </si>
  <si>
    <t>UNIDAD ADMINISTRATIVA CONCORDIA</t>
  </si>
  <si>
    <t>UNIDAD ADMINISTRATIVA MAZATLAN</t>
  </si>
  <si>
    <t>UNIDAD ADMINISTRATIVA CHOIX</t>
  </si>
  <si>
    <t>UNIDAD ADMINISTRATIVA GUASAVE</t>
  </si>
  <si>
    <t>UNIDAD ADMINISTRATIVA EL ROSARIO</t>
  </si>
  <si>
    <t>UNIDAD ADMINISTRATIVA LOS MOCHIS</t>
  </si>
  <si>
    <t>UNIDAD ADMINISTRATIVA BADIRAGUATO</t>
  </si>
  <si>
    <t>FISCALIA</t>
  </si>
  <si>
    <t>USE</t>
  </si>
  <si>
    <t>CENTRO DE CONTROL DE CONFIANZA DEL (C.E.S.P) (C3)</t>
  </si>
  <si>
    <t>EJECUTIVO</t>
  </si>
  <si>
    <t>EJECUTIVO-SEG. PUB.</t>
  </si>
  <si>
    <t>EJECUTIVO-UA</t>
  </si>
  <si>
    <t>AHOME</t>
  </si>
  <si>
    <t>ANGOSTURA</t>
  </si>
  <si>
    <t>TIPO</t>
  </si>
  <si>
    <t>DESCRIPCIÓN</t>
  </si>
  <si>
    <t>DOMICILIO</t>
  </si>
  <si>
    <t>MUNICIPIO</t>
  </si>
  <si>
    <t>CULIACÁN</t>
  </si>
  <si>
    <t>MAZATLÁN</t>
  </si>
  <si>
    <t>EL DORADO</t>
  </si>
  <si>
    <t>(LA CRUZ</t>
  </si>
  <si>
    <t>CHOIX</t>
  </si>
  <si>
    <t>CONCORDIA</t>
  </si>
  <si>
    <t>COSALA</t>
  </si>
  <si>
    <t>ESCUINAPA</t>
  </si>
  <si>
    <t>GUAMUCHIL</t>
  </si>
  <si>
    <t>MOCORITO</t>
  </si>
  <si>
    <t>SAN IGNACIO</t>
  </si>
  <si>
    <t>SINALOA DE LEYVA</t>
  </si>
  <si>
    <t>NAVOLATO (ALTATA)</t>
  </si>
  <si>
    <t>ETIQUETA</t>
  </si>
  <si>
    <t>ACADEMIA DE POLICIA (INST. DE CIENCIAS PENALES)</t>
  </si>
  <si>
    <t>PROPIO</t>
  </si>
  <si>
    <t>VICENTE GUERRERO #950 NTE. INTERIOR 22 Y 23 PLANTA</t>
  </si>
  <si>
    <t>JUAREZ Y CONSTITUCION Y RAFAEL BUELNA</t>
  </si>
  <si>
    <t>H.VALDEZ Y RIO FUERTE</t>
  </si>
  <si>
    <t>CUAUHTEMOC Y ALLENDE</t>
  </si>
  <si>
    <t>BENITO JUAREZ E D.GAMEZ Y J.M.MORELOS</t>
  </si>
  <si>
    <t>P.SUAREZ E LOPEZ MATEO Y L.</t>
  </si>
  <si>
    <t>AV. ROSALES ENTRE LOPEZ MATEOS Y E.ZAPATA</t>
  </si>
  <si>
    <t>CARRETERA CULIACAN NAVOLATO Y CANAL</t>
  </si>
  <si>
    <t>CARRETERA CULIACAN NAVOLATO</t>
  </si>
  <si>
    <t>AEROPUERTO FEDERAL DE BACHIGUALATO</t>
  </si>
  <si>
    <t>ANTONIO ROSALES 543 OTE.</t>
  </si>
  <si>
    <t>INSURGENTES LAZARO CARDENAS Y 16 DE SEP.</t>
  </si>
  <si>
    <t>CALLE INDEPENDENCIA S/N</t>
  </si>
  <si>
    <t>CARRETERA CULIACAN-NAVOLATO Y CANAL</t>
  </si>
  <si>
    <t>CALLE ACCESO DE LA S.A.R.H. COL.BACHIGUALATO</t>
  </si>
  <si>
    <t>AV. DEL MAR Y ZONA DE PLAYA</t>
  </si>
  <si>
    <t>MINA ARROLLO GRANDE Y C.LA JUVENTUD</t>
  </si>
  <si>
    <t>5 DE MAYO Y LEYVA SOLANO</t>
  </si>
  <si>
    <t>RIO BALUARTE TRES FIDEOS Y CANAL</t>
  </si>
  <si>
    <t>AV. INSURGUENTES</t>
  </si>
  <si>
    <t>CARRETERA A DURANGO Y C.ISIDRO PERAZA</t>
  </si>
  <si>
    <t>AV.20 DE NOVIEMBRE</t>
  </si>
  <si>
    <t>C.ESTADISTICAS P.J. DURAN C.7</t>
  </si>
  <si>
    <t>INDEPENDENCIA SALAZAR Y OBREGON</t>
  </si>
  <si>
    <t>AV.REFORMA Y C.5 DE MAYO</t>
  </si>
  <si>
    <t>CALLE 11 Y CARRETERA PARRAL CHIHUAHUA</t>
  </si>
  <si>
    <t>C.INDEPENDENCIA,L.DE REFORMA,AV.12 Y PTE.14</t>
  </si>
  <si>
    <t>PROPIOS</t>
  </si>
  <si>
    <t>EDIFICIOS FISCALÍA GENERAL DEL ESTADO</t>
  </si>
  <si>
    <t>EDIFICIOS GOBIERNO DEL ESTADO DE SINALOA</t>
  </si>
  <si>
    <t>IRSS (CENTRO PENITENCIARIO AGUARUTO-CULIACAN)</t>
  </si>
  <si>
    <t>PENAL (CERESO) MAZATLAN (CENTRO PENITENCIARIO EL CASTILLO-MAZATLAN)</t>
  </si>
  <si>
    <t>BLVD. PEDRO INFANTE Y MIGUEL TAMAYO</t>
  </si>
  <si>
    <t>POLICIA JUDICIAL DEL ESTADO (DIR. DE LA POLICIA MINISTERIAL Y C4</t>
  </si>
  <si>
    <t>PENAL (CERESO) AHOME GOROS II</t>
  </si>
  <si>
    <t>POLICIA ESTATAL PREVENTIVA (PEP)</t>
  </si>
  <si>
    <t>COMPLEJO DE SEGURIDAD PUBLICA Y SECRETARIADO EJECUTIVO</t>
  </si>
  <si>
    <t>UNIDAD ANTISECUESTROS</t>
  </si>
  <si>
    <t>PENAL (CERESO) ANGOSTURA</t>
  </si>
  <si>
    <t>CODIGO POSTAL</t>
  </si>
  <si>
    <t>SERVICIO MEDICO FORENSE (SEMEFO), SERVICIOS PERICIALES E INVESTIGACION CRIMINALISTICA</t>
  </si>
  <si>
    <t>FISCALIA GENERAL DEL ESTADO DE SINALOA</t>
  </si>
  <si>
    <t>CASA DE LA REPRESENTACION DEL GOBIERNO EN LA CIUDAD  DE MEXICO</t>
  </si>
  <si>
    <t>SANTA CARARINA ESQUINA CON SANTA ROSALÍA NÚMERO 415 COL. INSURGENTES SAN BORJA</t>
  </si>
  <si>
    <t>CIUDAD DE MEXICO</t>
  </si>
  <si>
    <t>MAZATLAN</t>
  </si>
  <si>
    <t xml:space="preserve">CASA HABITACION </t>
  </si>
  <si>
    <t>RIO BALUARTE Y FLAMINGOS 216</t>
  </si>
  <si>
    <t>BLVD. ALFONSO ZARAGOZA MAYTORENA 2204</t>
  </si>
  <si>
    <t>PARQUE TEMATICO</t>
  </si>
  <si>
    <t>Blvd. Rolando Arjona Amabilis</t>
  </si>
  <si>
    <t>FISCALIA Y S.E.S.P.</t>
  </si>
  <si>
    <t>CENTRO DE JUSTICIA PAR LA MUJER EN LA CIUDAD DE CULIACÁN, MUNICIPIO DE CULIACÁN</t>
  </si>
  <si>
    <t>EJECUTIVO-S.E.S.P</t>
  </si>
  <si>
    <t>S.E.S.P.</t>
  </si>
  <si>
    <t>BLVD.ZAPATA 1992 COL. VALLADO CULIACAN SINALOA</t>
  </si>
  <si>
    <t xml:space="preserve">AV. FEDERALISMO  </t>
  </si>
  <si>
    <t>BVLD. ENRIQUE SANCHEZ ALONSO 1833 DES.URB TRES RIOS</t>
  </si>
  <si>
    <t>VALOR CONTENIDOS</t>
  </si>
  <si>
    <t>BIENES CUBIERTOS MEDIANTE CONVENIO EXPRESO PARA FHM</t>
  </si>
  <si>
    <t>REMOCIÓN DE ESCOMBROS</t>
  </si>
  <si>
    <t>R.C. GENERAL S.A. $10,000,000</t>
  </si>
  <si>
    <t>R.C. ARRENDATARIO S.A. $10,000,000</t>
  </si>
  <si>
    <t>ROBO DE CONTENIDOS S.A. $1,500,000</t>
  </si>
  <si>
    <t>DINERO Y VALORES .S.A.  $500,000</t>
  </si>
  <si>
    <t>CRISTALES S.A. $300,000</t>
  </si>
  <si>
    <t>EQUIPO ELECTRÓNICO</t>
  </si>
  <si>
    <t>ROTURA DE MAQUINARIA</t>
  </si>
  <si>
    <t>AMPARADO</t>
  </si>
  <si>
    <t>EDIFICIOS ARRENDADOS</t>
  </si>
  <si>
    <t>EL FUERTE</t>
  </si>
  <si>
    <t>MODULO DE SERVICIOS ESTATALES</t>
  </si>
  <si>
    <t>GPE. VICTORIA Y CALLEJON CULIACAN</t>
  </si>
  <si>
    <t>OFICINAS DE LA PROCURADURIA DE LA DEFENSA DEL TRABAJO</t>
  </si>
  <si>
    <t>NAVOLATO</t>
  </si>
  <si>
    <t xml:space="preserve">CALLE BELISARIO DOMINGUEZ NUM. 743, COL. BIENESTAR </t>
  </si>
  <si>
    <t>CENTRO DE DESARROLLO INFANTIL 1 (CENDI) LUZ MARIA LOPEZ MEZA</t>
  </si>
  <si>
    <t>CALLE FELIPE ANGELES Y AVE. DE LOS EMPAQUES 4053 FRACC. JARDINES DEL VALLE, CULIACAN, SINALOA</t>
  </si>
  <si>
    <t>CALLE BENITO JUAREZ LOCAL S/N ENTRE JUSTO SIERRA Y RAMON CORONA COL. CENTRO HIGUERAS DE ZARAGOZA, AHOME SIN.</t>
  </si>
  <si>
    <t>OFICINA DE LA COMISION ESTATAL DE BUSQUEDA DE PERSONAS DESAPARECIDAS</t>
  </si>
  <si>
    <t>BLVD. FCO. I MADERO 4244 OTE. CARRETERA SANALONA, COLONIA EL BARRIO. PLAZA COMERCIAL PABELLON</t>
  </si>
  <si>
    <t>SUBTOTAL EDIFICIOS ARRENDADOS</t>
  </si>
  <si>
    <t xml:space="preserve">CONSEJO TUTELAR PARA MENORES (CENTRO DE INTERNAMIENTO PARA ADOLESCENTES-CIPA)Y ORGANO DE EJECUCION DE MEDIDA PARA ADOLESCENTES (OEEMA) </t>
  </si>
  <si>
    <t>VALOR EDIFICIO</t>
  </si>
  <si>
    <t>AV.B.HILL Y RIO PIAXTLA</t>
  </si>
  <si>
    <t>SUBTOTAL EDIFICIOS PROPIOS</t>
  </si>
  <si>
    <t>TOTALES</t>
  </si>
  <si>
    <t>ARCHIVO DE VICEFISCALIA ZONA CENTRO</t>
  </si>
  <si>
    <t>JUAN JOSE RIOS NUM. 548 PTE ENTRE DONATO GUERRA Y RIVA PALACIO, CULIACAN, SINALOA</t>
  </si>
  <si>
    <t>UNEDEP</t>
  </si>
  <si>
    <t>CARRETERA INTERNACIONAL SALIDA NORTE A ESPALDAS DE LA MEXICO 15 NO. 2600, FRAC. ISSTESIN, CULIACAN, SINALOA, CP. 80026</t>
  </si>
  <si>
    <t>UNIDAD NAVOLATO</t>
  </si>
  <si>
    <t>CALLE JORGE ALMADA NO. 333 PTE. NAVOLATO, SINALOA</t>
  </si>
  <si>
    <t>ARCHIVO GENERAL</t>
  </si>
  <si>
    <t>CENTRO LOGISTICO NO. 9522 CARRETERA NAVOLATO, COLONIA BACHIGUALATO, CULIACAN, SINALOA, CP. 80130</t>
  </si>
  <si>
    <t>BODEGA DE OFICIALIA MAYOR, UNESA Y UMIP</t>
  </si>
  <si>
    <t>MIGUEL HIDALGO 653 PTE . CENTRO CULIACAN, SINALOA</t>
  </si>
  <si>
    <t>UNEIN</t>
  </si>
  <si>
    <t>AV. MOCHIS 1360 COL. GUADALUPE, CULIACAN, SINALOA</t>
  </si>
  <si>
    <t>VICEFISCALIA ZONA CENTRO</t>
  </si>
  <si>
    <t>CUARTA ETAPA DEL DESARROLLO URBANO TRES RIOS ENTRE BLVD. ROLANDO ARJONA Y VIALIDAD DE SERVICIO, CULIACAN, SINALOA, CP. 80025</t>
  </si>
  <si>
    <t>UNESA Y UMIP</t>
  </si>
  <si>
    <t>RODOLFO G. ROBLES 2DO. PISO Y MARIANO ESCOBEDO NO. 195 NTE. COLONIA CENTRO, CULIACAN, SINALOA, CP. 80010</t>
  </si>
  <si>
    <t>ADSCRITOS JUZGADOS CIVILES Y FAMILIARES</t>
  </si>
  <si>
    <t>CALZADA DE LOS INSURGENTES Y LAZARO CARDENAS SUR NO. 136 COLONIA CENTRO, CULIACAN, SINALOA</t>
  </si>
  <si>
    <t>UNIDAD ESPECIALIZADA EN ANTISECUESTROS LOS MOCHIS</t>
  </si>
  <si>
    <t>CALLE BACHOCO ESQUINA CON REVOLUCION NO. 1153 COL. RESIDENCIAL DEL VALLE, LOS MOCHIS, AHOME, CP. 81249</t>
  </si>
  <si>
    <t>VICEFISCALIA ZONA NORTE</t>
  </si>
  <si>
    <t>IGNACIO ZARAGOZA Y BENITO JUAREZ SUR NO. 223, COLONIA CENTRO, AHOME, LOS MOCHIS, CP. 81200,</t>
  </si>
  <si>
    <t>INSPECCION EL FUERTE</t>
  </si>
  <si>
    <t>MORELOS Y CALLEJON S/N SIN SALIDA SUR, EL FUERTE, SINALOA</t>
  </si>
  <si>
    <t>EDIFICIO GODINEZ</t>
  </si>
  <si>
    <t>RIO QUELITE 11101, TELLERIA ELOTA SINALOA Y CODITOS TELLERIA, MAZATLAN, SINALOA</t>
  </si>
  <si>
    <t>PERICIALES Y ROBO DE VEHICULOS MAZATLAN</t>
  </si>
  <si>
    <t>CARRETERA INTERNACIONAL AL SUR KM. 15, MAZATLAN, SINALOA</t>
  </si>
  <si>
    <t>PROCOPIO PLANTA BAJA</t>
  </si>
  <si>
    <t>CALLE RIO CHACHALACAS, NO. 313 NTE. LOCAL 1, 2, 3 Y 4 COLONIA PALOS PRIETOS, MAZATLAN, SINALOA</t>
  </si>
  <si>
    <t>AGENCIA ESP EN DELITOS DE SECUESTRO EN MAZATLAN</t>
  </si>
  <si>
    <t>CERRO CONEJOS 230, FRACCIONAMIENTO LOMAS DE MAZATLAN, MAZATLAN, SINALOA</t>
  </si>
  <si>
    <t>FUERTE EL</t>
  </si>
  <si>
    <t>U CANACO</t>
  </si>
  <si>
    <t>AVENIDA MIGUEL ALEMAN 914 COL. CENTRO, MAZATLAN, SINALOA</t>
  </si>
  <si>
    <t>COMODATO</t>
  </si>
  <si>
    <t>10MA Y TERMINACION 5 DE MAYO S/N COLONIA CENTRO, ANGOTURA, SINALOA, CP 81600</t>
  </si>
  <si>
    <t>CARRRETERA A GUAMUCHIL S/N ESQUINA CON AV. ANTONIO ROALES MAZANA 9 LOTE 5 COL. CENTRO CP 80406</t>
  </si>
  <si>
    <t>BLVD. ANTONIO ROSALES Y A. SERDAN ATRAS DE LA UNIDAD ADMINISTRATIVA COLONIA MORELOS, GUAMUCHIL, SALVADOR ALVARADO, SINALOA, CP 81460</t>
  </si>
  <si>
    <t>AV. CRUZ LIZARRAGA Y RAMON LOPEZ ALVARADO, FRACCIONAMIENTO TELLERIAS, MAZATLAN, SINALOA, CP 82017</t>
  </si>
  <si>
    <t>MELCHOR OCAMPO S/N CARRETERA INTERNACIONAL, ROSARIO, SINALOA, CP 82803</t>
  </si>
  <si>
    <t>INSPECCION ANGOSTURA</t>
  </si>
  <si>
    <t>INSPECCION MOCORITO</t>
  </si>
  <si>
    <t>INSPECCION GUAMUCHIL</t>
  </si>
  <si>
    <t>INSPECCION MAZATLAN, SEMEFO</t>
  </si>
  <si>
    <t>INSPECCION ROSARIO</t>
  </si>
  <si>
    <t>SALVADOR ALVARADO</t>
  </si>
  <si>
    <t>ROSARIO</t>
  </si>
  <si>
    <t>PROPIOS-GES</t>
  </si>
  <si>
    <t>SUBTOTAL EDIFICIOS GES-FISCALIA</t>
  </si>
  <si>
    <t>SUBTOTAL EDIFICIOS ARRENDADOS-FISCALIA</t>
  </si>
  <si>
    <t>SUBTOTAL EDIFICIOS COMODATOS-FISCALIA</t>
  </si>
  <si>
    <t>SUBTOTAL EDIFICIOS PROPIOS-FISCALIA</t>
  </si>
  <si>
    <t>SUBPARTIDA 4.2</t>
  </si>
  <si>
    <t>SUBPARTIDA 4.1</t>
  </si>
  <si>
    <t>No</t>
  </si>
  <si>
    <t>No.</t>
  </si>
  <si>
    <t>M2 DE COSTRUCCIÓN</t>
  </si>
  <si>
    <t>VALORES  A ASEGURAR 2021</t>
  </si>
  <si>
    <t>VALORES  A ASEGURAR 2022</t>
  </si>
  <si>
    <t>07-000-036-008-005-001</t>
  </si>
  <si>
    <t>08-002-002-011-014-001</t>
  </si>
  <si>
    <t>07-000-013-001-018-001</t>
  </si>
  <si>
    <t>07-000-036-185-001-001</t>
  </si>
  <si>
    <t>07-000-038-001-040-001</t>
  </si>
  <si>
    <t>07-000-004-015-011-001</t>
  </si>
  <si>
    <t xml:space="preserve">CONSEJO TUTELAR PARA MENORES (CENTRO DE INTERNAMIENTO PARA ADOLESCENTES-CIPA)Y ORGANO DE EJECUCION DE MEDIDA PARA ADOLECENTES (OEEMA) </t>
  </si>
  <si>
    <t>07-000-038-001-001-001</t>
  </si>
  <si>
    <t>011-000-028-012-001-002</t>
  </si>
  <si>
    <t>003-01477-001 RUSTICA</t>
  </si>
  <si>
    <t>19-000-001-025-001-001</t>
  </si>
  <si>
    <t>07-040-002-006-015-001</t>
  </si>
  <si>
    <t>22-000-001-133-001-001</t>
  </si>
  <si>
    <t>21-000-001-101-007-001</t>
  </si>
  <si>
    <t>01-000-002-007-013-001</t>
  </si>
  <si>
    <t>12-000-002-019-030-001</t>
  </si>
  <si>
    <t>09-000-001-018-002-001</t>
  </si>
  <si>
    <t>07-000-009-078-001-001</t>
  </si>
  <si>
    <t>13-000-001-029-005-001</t>
  </si>
  <si>
    <t>14-000-004-065-001-001</t>
  </si>
  <si>
    <t>06-000-003-046-012-001</t>
  </si>
  <si>
    <t>05-000-005-027-004-001</t>
  </si>
  <si>
    <t>03-000-003-021-002-001</t>
  </si>
  <si>
    <t>11-000-012-099-001-001</t>
  </si>
  <si>
    <t>18-000-001-011-007-001</t>
  </si>
  <si>
    <t>10-000-001-017-012-001</t>
  </si>
  <si>
    <t>04-000-001-023-001-001</t>
  </si>
  <si>
    <t>14-000-012-105-002-001</t>
  </si>
  <si>
    <t>07-000-055-166-005-001</t>
  </si>
  <si>
    <t>040012211000-6</t>
  </si>
  <si>
    <t>11-000-010-029-006-001</t>
  </si>
  <si>
    <t>07-000-041-038-006-001</t>
  </si>
  <si>
    <t xml:space="preserve">EDIFICIO </t>
  </si>
  <si>
    <t>07-000-056-004-014-001</t>
  </si>
  <si>
    <t>SUB-TOTAL SUMAS ASEGURADAS</t>
  </si>
  <si>
    <t>idoficina</t>
  </si>
  <si>
    <t>expediente</t>
  </si>
  <si>
    <t>Uso_Oficina</t>
  </si>
  <si>
    <t>Domicilio</t>
  </si>
  <si>
    <t>Des_Localidad</t>
  </si>
  <si>
    <t>Des_Municipio</t>
  </si>
  <si>
    <t>CodigoPostal</t>
  </si>
  <si>
    <t>Superficie</t>
  </si>
  <si>
    <t>subtotal</t>
  </si>
  <si>
    <t>ValorContenido</t>
  </si>
  <si>
    <t>OFICILIA DEL REGISTRO CIVIL</t>
  </si>
  <si>
    <t>DOMICILIO CONOCIDO</t>
  </si>
  <si>
    <t>SATAYA</t>
  </si>
  <si>
    <t>REGISTRO CIVIL</t>
  </si>
  <si>
    <t>DOMICILIO CONOCIDO, PRESIDENCIA MUNICIPAL</t>
  </si>
  <si>
    <t>REGISTRO PUBLICO DE LA PROPIEDAD</t>
  </si>
  <si>
    <t>DEFENSORIA DE OFICIO</t>
  </si>
  <si>
    <t>DELEGACION DE CATASTRO</t>
  </si>
  <si>
    <t>INSPECCION ESCOLAR 08</t>
  </si>
  <si>
    <t>OFIC. DE SERVICIO ESTATAL DEL EMPLEO</t>
  </si>
  <si>
    <t>CALLE LEYVA SOLANO #85, ENTRE CARRASCO Y ZARAGOZA</t>
  </si>
  <si>
    <t xml:space="preserve">REGISTRO PUBLICO DE LA PROPIEDAD </t>
  </si>
  <si>
    <t>SAUL AGUILAR PICO Y AV. PONIENTE 144 SUR 03</t>
  </si>
  <si>
    <t>LA CRUZ</t>
  </si>
  <si>
    <t>ELOTA</t>
  </si>
  <si>
    <t xml:space="preserve">OFICINA  DEL TRIBUNAL UNITARIO AGRARIO </t>
  </si>
  <si>
    <t>RIO BALUARTE 1005 Y CALLE RIO QUELITE NO. 27 Y 28, PLANTA BAJA FRACC. TELLERIA</t>
  </si>
  <si>
    <t>OFICIALIA DE REGISTRO CIVIL No. 4</t>
  </si>
  <si>
    <t>CARRETERA LAS PUENTES, POSTE NO. 15 EJIDO EL TAPACAL VILLA JUAREZ, NAVOLATO</t>
  </si>
  <si>
    <t>BENITO JUÁREZ (VILLA JUÁREZ)</t>
  </si>
  <si>
    <t>COLECTURIA DE RENTAS</t>
  </si>
  <si>
    <t>AVE.BENITO JUAREZ # 37. LOCAL 1 COL. CENTRO</t>
  </si>
  <si>
    <t>HIGUERA DE ZARAGOZA</t>
  </si>
  <si>
    <t>ESTACIONAMIENTO VEHICULOS DE LA SAF Y SERVICIOS GRAL.</t>
  </si>
  <si>
    <t>ESCUADRON 201 #715, COL. LOS PINOS</t>
  </si>
  <si>
    <t>CULIACÁN ROSALES</t>
  </si>
  <si>
    <t>OFICINAS DE DIR. DE VIALIDAD Y TRANSPORTE</t>
  </si>
  <si>
    <t>BELIZARIO DOMINGUEZ Y CUAUHTEMOC NO. 727 SUR. COL. BIENESTAR</t>
  </si>
  <si>
    <t>OFICINAS DE DIR. DE FISCALIZACION</t>
  </si>
  <si>
    <t xml:space="preserve">DELEGACION DE VIALIDAD Y TRANSPORTES </t>
  </si>
  <si>
    <t>CALLE RIO QUELITE NO. 1101, ESQ. CON CALLW CODITOS PLANTA BAJA FRACC. TELLERIA</t>
  </si>
  <si>
    <t xml:space="preserve">BODEGA PARA LA DIRECCION DE VIALIDAD Y TRANSPORTES </t>
  </si>
  <si>
    <t>CALLE SANYOS DEGOLLADO # 949 SUR, COL BIENESTAR</t>
  </si>
  <si>
    <t>ARCHIVO DE LA DIRECCION DE RECAUDACION.</t>
  </si>
  <si>
    <t>LAZARO CARDENAS 859-24, SEGUNDO PISO</t>
  </si>
  <si>
    <t>OFICINAS DEL REGISTRO PUBLICO DE LA PROPIEDAD</t>
  </si>
  <si>
    <t>CALLE JOSE MARIA MORELOS #13 COL. CENTRO</t>
  </si>
  <si>
    <t>ESCUINAPA DE HIDALGO</t>
  </si>
  <si>
    <t>BODEGA PARA LA DIRECCION DE INGRESOS DE RECAUDACION</t>
  </si>
  <si>
    <t>CARR. A NAVOLATO KM. 8.5, BACHIGUALATO</t>
  </si>
  <si>
    <t>RECAUDACION DE RENTAS</t>
  </si>
  <si>
    <t>CALLE MIGUEL HIDALGO Y PROGRESO # 105</t>
  </si>
  <si>
    <t>OFICIALIA No.1 DE REGISTRO CIVIL</t>
  </si>
  <si>
    <t>CONSTITUCION #8</t>
  </si>
  <si>
    <t>LA NORIA</t>
  </si>
  <si>
    <t>OFICIALIA VI DEL REGISTRO CIVIL, HIGUERA DE ZARAGOZA</t>
  </si>
  <si>
    <t>RAMON CORONA S/N. LOCAL 6, ENTRE HIDALGO Y ZARAGOZA</t>
  </si>
  <si>
    <t>OFICIALIA DEL REGISTRO CIVIL # 2 EN ALHUEY ANGOSTURA</t>
  </si>
  <si>
    <t>AV. CONSTITUCION # 67 PLANTA BAJA</t>
  </si>
  <si>
    <t>ALHUEY</t>
  </si>
  <si>
    <t>OFICIALIA DEL REGISTRO CIVIL Y JUZGADO MENOR</t>
  </si>
  <si>
    <t>SAN RAFAEL 31 SUR</t>
  </si>
  <si>
    <t>COSTA RICA</t>
  </si>
  <si>
    <t>DELEGACION DE TRANSITO</t>
  </si>
  <si>
    <t>OFICINAS DE RECAUDACION DE RENTAS</t>
  </si>
  <si>
    <t>MODULO  DE SERVICIOS ESTATALES</t>
  </si>
  <si>
    <t>PLAZA LAS AMERICAS LOCAL 17, CALZADA LAS AMERICAS</t>
  </si>
  <si>
    <t>BODEGA PARA ARCHIVO DE LA SECRETARIA GENERAL DE GOBIERNO</t>
  </si>
  <si>
    <t>BLVD. CONSTITUCION 159 OTE. COL. CENTRO, ENTRE PALIZA Y ANDRADE</t>
  </si>
  <si>
    <t xml:space="preserve">OFICIALIA DEL REGISTRO CIVIL NO. 3 </t>
  </si>
  <si>
    <t>AV. DEFENSA NACIONAL #100, PLANTA BAJA</t>
  </si>
  <si>
    <t>OFIC. DE LA UNIDAD REGIONAL AL SERVICIO NACIONAL DEL EMPLEO (SNE)</t>
  </si>
  <si>
    <t>CALLE GUILLERMO PRIETO ESQ. AVE. JOSE MARIA MORELOS 1105 SUR COL. CENTRO</t>
  </si>
  <si>
    <t>RAFAEL BUELNA Y PINO SUAREZ</t>
  </si>
  <si>
    <t>PERICOS</t>
  </si>
  <si>
    <t>OFICINAS VIALIDAD Y TRANSPORTE</t>
  </si>
  <si>
    <t>OFICINAS DEL REGISTRO CIVIL</t>
  </si>
  <si>
    <t>SUPERVISION ESCOLAR #40 EDUCACION PRIMARIA</t>
  </si>
  <si>
    <t>CALLE IGNACIO ZARAGOZA NO,171 NTE</t>
  </si>
  <si>
    <t xml:space="preserve">SUPERVISION ESCOLAR 03, EDUCACION PRIMARIA </t>
  </si>
  <si>
    <t>GUAMÚCHIL</t>
  </si>
  <si>
    <t>SUPERVISION ESCOLAR 08</t>
  </si>
  <si>
    <t>CALLE BENITO JUAREZ Y PEDRO INFANTE, PLANTA BAJA</t>
  </si>
  <si>
    <t>OFICINAS DE LA COMISION DE ARBITRAJE MEDICO</t>
  </si>
  <si>
    <t>CALLE GABRIEL LEYVA 265-1. NTE. COL. CENTRO</t>
  </si>
  <si>
    <t>DELEGACION DE LA DIRECCION DE INSPECCION Y REGLAMENTOS</t>
  </si>
  <si>
    <t>RIO BALUARTE 1000-5, CON CALLE ARROYO CONCORDIA Y ARROYO JABALINES FRACC. TELLERIA</t>
  </si>
  <si>
    <t>RIO BALUARTE 1000-8, CON CALLE ARROYO CONCORDIA Y ARROYO JABALINES FRACC. TELLERIA</t>
  </si>
  <si>
    <t>OFICINA DE LA DIRECCION DE RECAUDACION</t>
  </si>
  <si>
    <t>CALLE RIO CULIACAN NO. 1630 FRACC. TELLERIA</t>
  </si>
  <si>
    <t xml:space="preserve">SUPERVICIONES ESCOLARES 002 Y 011 </t>
  </si>
  <si>
    <t>CALLE DR. LUIS G. DE LA TORRE NO. 600, LOCAL 12,13 Y 14 EDIFICIO ROSA</t>
  </si>
  <si>
    <t>MODULO DE ATENCION CIUDADANA</t>
  </si>
  <si>
    <t>CALLE JUAN CARRASCO # 539 LOCAL 14.PLANTA BAJA</t>
  </si>
  <si>
    <t>OFICINAS DE LA DIRECCION DE GOBIERNO Y AMPLIACION DEL TRIBUNAL UNITARIO AGRARIO DISTRITO 39</t>
  </si>
  <si>
    <t>CALLE RIO BALUARTE 1007, FRACC. TELLERIA</t>
  </si>
  <si>
    <t>DR. MORA 1725, LOCAL 2 Y 3, SECCION C, LA CAMPIÑA</t>
  </si>
  <si>
    <t>BODEGA PARA ARCHIVO DE LA DIR. DEL INSTITUTO CATASTRAL DE SINALOA</t>
  </si>
  <si>
    <t>CALLE RIO QUELITE ESQ. CON CALLE CODITOS 1101, PLANTA ALTA FRACC. TELLERIA</t>
  </si>
  <si>
    <t>INSTITUTO DE LA DEFENSORIA PUBLICA</t>
  </si>
  <si>
    <t>CALLE ANGEL FLORES # 50 LOCAL 118-G ALTOS COL. CENTRO</t>
  </si>
  <si>
    <t>INSTALACION DE ANTENA DE COMUNICACIÓN DE LA UNIDAD DEL SISTEMA ESTATAL DE COMUNICACIONES C4</t>
  </si>
  <si>
    <t>LOTE 37 DENTRO DE LA COL. AGRICOLA Y GANADERA DENOMINADA MESA DE CACAXTLA</t>
  </si>
  <si>
    <t>OFICINAS DE LA SECRETARIA DE DESARROLLO SOCIAL Y HUMANO</t>
  </si>
  <si>
    <t>MACARIO GAXIOLA ESQ. A.CANO #734</t>
  </si>
  <si>
    <t>BODEGA PARA RECAUDACION DE RENTAS</t>
  </si>
  <si>
    <t>ALVARO OBREGON # 683</t>
  </si>
  <si>
    <t>OFICINA D ELA JEFATURA DEL SECTOR VII, DE EDUCACION PRIMARIA DE LA SEPYC</t>
  </si>
  <si>
    <t>MIGUEL HIDALGO 207 ENTRE CALLE CONSTITUCION Y 20 DE NOVIEMBRE SUR ALTO</t>
  </si>
  <si>
    <t>VILLA UNIÓN</t>
  </si>
  <si>
    <t>OFICINAS DEL REGISTRO PUBLICO DE LA PROPIEDAD Y DEL COMERCIO USE CULIACAN</t>
  </si>
  <si>
    <t>BLVD. PEDRO INFANTE Y MIGUEL TAMAYO ESPINOZA DE LOS MONTEROS</t>
  </si>
  <si>
    <t>OFICINAS DE LA SECRETARIA TURISMO</t>
  </si>
  <si>
    <t>AV. DEL MAR MANZ. 67 CUARTEL 17, FRENTE AVENIDA DEL MAR</t>
  </si>
  <si>
    <t>OFICINAS PARA EL PROGRAMA "ES POR SINALOA"</t>
  </si>
  <si>
    <t>CALLE ANGEL FLORES 1# 4 PTE. PLANTA ALTA</t>
  </si>
  <si>
    <t>BODEGA PARA AYUDANTIA DEL C. GOBERNADOR</t>
  </si>
  <si>
    <t>RAMON F. ITURBE 1075 PTE, COL. ALMADA SINALOA</t>
  </si>
  <si>
    <t>S.S.P. (PROGRAMA ES POR SINALOA, GRAN CRUZADA SOCIAL</t>
  </si>
  <si>
    <t>PLAZA SAN IGNACIO #1205 LOCAL 15, CARRETERA INTERNACIONAL. FRAC. FOVISSSTE PLAYA AZUL</t>
  </si>
  <si>
    <t>BODEGA PARA DIRECCION DE VIALIDAD Y TRANSPORTES</t>
  </si>
  <si>
    <t>CALLE RIO CHACHALACAS 313 NTE. UBICADO EN CUARTEL DOCEAVO LOCAL 5, PLANTA ALTA COL. PALOS PRIETOS</t>
  </si>
  <si>
    <t>OFICINAS DE LA DIRECCION DE CONTABILIDAD GUBERNAMENTAL</t>
  </si>
  <si>
    <t>LAZARO CARDENAS NO. 750 SUR LOC. G6. COL. CENTRO SINALOA</t>
  </si>
  <si>
    <t>SUPERVISION ESCOLAR REGION 2, ZONA SUR DE EDUCACION FISICA ESTATAL</t>
  </si>
  <si>
    <t>CALLE DONATO GUERRA NO. 73 COL. CENTRO SINALOA</t>
  </si>
  <si>
    <t>OFICINAS DE RECAUDACION DE RENTAS DE EL FUERTE.</t>
  </si>
  <si>
    <t>GABRIEL LEYVA NO. 2466 OFICINA NO. 2 EN SAN BLAS</t>
  </si>
  <si>
    <t>DELEGACION DE VIALIDAD Y TRANSPORTES</t>
  </si>
  <si>
    <t>OFICINAS PARA LA OFICIALIA DEL REGISTRO CIVIL</t>
  </si>
  <si>
    <t>ESTACIONAMIENTO DE LAS OFICINAS DE LA DIR. DE CONTABILIDAD Y CONTROL DE GASTO</t>
  </si>
  <si>
    <t>LAZARO CARDENAS NO. 750 SUR COL. CENTRO SINALOA</t>
  </si>
  <si>
    <t xml:space="preserve">SUPERVISION PREESCOLAR 067 DE EDUCAION PREESCOLAR </t>
  </si>
  <si>
    <t>CALLE BELIZARIO DOMINGUEZ NO.743 COL. BIENESTAR</t>
  </si>
  <si>
    <t xml:space="preserve">PROYECTO ESTRATEGICO DE PROFESIONALIZACION DE AUDITORIA FISCAL </t>
  </si>
  <si>
    <t>BELISARIO DOMINGUEZ NUM. 743, COL. BIENESTAR</t>
  </si>
  <si>
    <t>OFICINA DEL REGISTRO CIVIL DE MOCHICAHUI EL FUERTE</t>
  </si>
  <si>
    <t>ANTONIO ROSALES, S/N, MOCHICAHUI</t>
  </si>
  <si>
    <t>BODEGA DE LA DIRECCION DE FISCALIZACION</t>
  </si>
  <si>
    <t>CARRET. A SANALONA NO. 6000 EN LA ACERA SUR EN EL TRAMO COMPRENDIDO EN LA AVE. NORTE Y 3 NORTE DE LA COL. EL BARRIO</t>
  </si>
  <si>
    <t xml:space="preserve">MODULO DE ATENCION CIUDADANA </t>
  </si>
  <si>
    <t>PLAZA COMERCIAL, AV. REFORMA ENTRE RAFAEL BUELNA E INSURGENTES COLONIA ALAMEDA</t>
  </si>
  <si>
    <t>OFICILIA No. 05 DEL REGISTRO CIVIL UBICADO EN PLAZA COMERCIAL EN SAN MIGUEL ZAPOTITLAN</t>
  </si>
  <si>
    <t>CALLE CUAHTEMOC S/N, LOC. NO.9. COL. CENTRO. EJIDO SAN MIGUEL ZAPOTITLAN</t>
  </si>
  <si>
    <t>SUPERVISION REGIONAL SUR DEL PROGRAMA DE INGLES EN PRIMARIA</t>
  </si>
  <si>
    <t>CALLE NIÑOS HEROES NO. 742 SUR, ENTRE MARCIAL ORDONEZ Y CUAUHTEMOC, COL. CENTRO, LOS MOCHIS</t>
  </si>
  <si>
    <t>OFICINAS DE VIALIDAD Y TRANSPORTE</t>
  </si>
  <si>
    <t>CALZ. ALMADA S/N ENTRE CALLE AURELIANO RIVERA URIAS Y ESPUELA DEL FERROCARRIL OCCIDENTAL DE MEXICO. COL. CENTRO</t>
  </si>
  <si>
    <t>DIREC. DEL REGISTRO PUBLICO DE LA PROPIEDAD Y DEL COMERCIO</t>
  </si>
  <si>
    <t>INSTITUTO CATASTRAL DEL ESTADO DE SINALOA</t>
  </si>
  <si>
    <t>OFICINA DE COLECTURIA DE RENTAS</t>
  </si>
  <si>
    <t>MESA TECNICA DE SUPERVISION ESCOLAR 01 DE SECUANDARIAS GENERALES</t>
  </si>
  <si>
    <t>DIRECCION DE SERVICIOS DE PROTECCION DE LA S.S.P. ZONA NORTE</t>
  </si>
  <si>
    <t>AVE. JOSE MARIA OCHOA NO. 56 PTE. COL. ANAHUAC</t>
  </si>
  <si>
    <t xml:space="preserve">SUPERVISION ESCOLAR 043, SECTOR VII EDUC. PRIMARIA </t>
  </si>
  <si>
    <t>CALLE AHUIZOTL 901-B ESQ, CON CALLE MIGUEL HIDALGO, COL. ADOLFO LOPEZ MATEOS</t>
  </si>
  <si>
    <t xml:space="preserve">BODEGA PARA LA DELEGACION ADMINISTRATIVA DE RECAUDACION DE RENTAS </t>
  </si>
  <si>
    <t>AVE. FRANCISCO JAVIER MINA PLANTA BAJA NO. 1036. COL. CUAHUTEMOC</t>
  </si>
  <si>
    <t>OFICINA DE LA DIREC. FISCALIZACION</t>
  </si>
  <si>
    <t>CALLE PINO SUAREZ #19, COL. ANGEL FLORES</t>
  </si>
  <si>
    <t>PINO SUAREZ #19, COL. ANGEL FLORES</t>
  </si>
  <si>
    <t xml:space="preserve">PROCURADURIA DE LA DEFENSA AL CONTRIBUYENTE </t>
  </si>
  <si>
    <t>BLVD. LOLA BELTRAN S/N FRACC. SANTA AYNES</t>
  </si>
  <si>
    <t>SUPERVICION ESCOLAR 015 Y 123 SEPYC</t>
  </si>
  <si>
    <t>RAFAEL BUELNA 1016, COL. SANCHEZ CELIS, MAZATLAN, SINALOA</t>
  </si>
  <si>
    <t>DELEGACION DE LA DIR. DE SERVICIOS DE PROTECCION DE LA SRIA. DE SEGURIDAD PUBLICA</t>
  </si>
  <si>
    <t>CALLE CERRO DE LA COLORADA 138, FRACC. LOMAS DE MAZATLAN</t>
  </si>
  <si>
    <t>CALLE AYUNTAMIENTO # 1187, COL 12 DE OCTUBRE</t>
  </si>
  <si>
    <t xml:space="preserve">SUPERVISION ESCOLAR DE EDUCACION PRIMARIA PARTICULARES DE LAS ZONAS 043, 11 Y 041 </t>
  </si>
  <si>
    <t>AVE. JUAN CARRASCO NUM. 125 NTE. HOY 717 CUARTEL OCTAVO</t>
  </si>
  <si>
    <t xml:space="preserve">SUPERVISION ESCOLAR DE EDUCACION SECUNDARIA PARTICULARES DE LAS ZONAS 043, 11 Y 041 </t>
  </si>
  <si>
    <t xml:space="preserve">PERIODICO OFICIAL DEL ESTADO </t>
  </si>
  <si>
    <t>JOSE AGUILAR BARRAZA NO. 1305, CENTRO SINALOA</t>
  </si>
  <si>
    <t xml:space="preserve">OFICILIA DE REGISTRO CIVIL </t>
  </si>
  <si>
    <t>CALLE CONSTITUCION NUM.119 COL. CENTRO</t>
  </si>
  <si>
    <t xml:space="preserve">SUPERVISION ESCOLAR No. 051 DE EDUCACION PRIMARIA </t>
  </si>
  <si>
    <t>AVE. DE LAS TORRES NO. 10047 ,LOCAL 04, FRACC. LA JOYA, SECCION PRIVADA RUBI</t>
  </si>
  <si>
    <t>GESTORIA DE LA SECRETARIA GENERAL DE GOBIERNO</t>
  </si>
  <si>
    <t>AVE. RAFAEL BUELNA Y DR. JESUS KUMATE NO. 202 LOCAL 7 CENTRO COMERCIAL LAS LAS CONCHAS, HACIENDA LAS CRUCES</t>
  </si>
  <si>
    <t>MODULO DE RECAUDACION DE RENTAS</t>
  </si>
  <si>
    <t>AVE. MANUEL J. CLOUTIER NO.9122, "PLAZA SAN JOAQUIN" LOCALES 30 Y 31 FRACC. FLORESTA</t>
  </si>
  <si>
    <t>AVE. JOSE MARIA MORELOS 990 SUR, COLONIA GUADALUPE</t>
  </si>
  <si>
    <t>JUNTA LOCAL DE CONCILIACION Y ARBITRAJE EN MAZATLAN, SINALOA</t>
  </si>
  <si>
    <t>CALLE RIO CULIACAN NO.1151 ENTRE CALLES ARROYO DE CONCORDIA Y ARROYO JABALINES. FRACC. TELLERIA PLAZA COMERCIAL CARACOLES</t>
  </si>
  <si>
    <t>OFICINAS DE LA COMISION DE ARBITRAJE MEDICO DEL ESTADO DE SINALOA</t>
  </si>
  <si>
    <t>AVE. JABALINES NO. 4 LOCAL A-2 FRACC. TELLERIA</t>
  </si>
  <si>
    <t>OFICINA DEL REGISTRO CIVIL, OFICILIA 8.</t>
  </si>
  <si>
    <t>CALLE ANGEL FLORES # 115 NTE. ENTRE VENUSTIANO CARRANZA Y CALLEJON NARCISO, AHOME.</t>
  </si>
  <si>
    <t>ALMACEN Y RESGUARDO DE DOCUMENTOS LEGALES Y ADMINISTRATIVOS DE GOBIERNO DEL ESTADO DE SINALOA</t>
  </si>
  <si>
    <t>COLONIA CIRCUITO, NUEVA ESTACION II</t>
  </si>
  <si>
    <t>CIRCUITO NUEVA ESTACION No. 4561 SUR PARQUE INDUSTRIAL NUEVA ESTACION II, COL. INDUSTRIAL EL PALMITO</t>
  </si>
  <si>
    <t>BODEGA DE LA SECRETARIA DE AGRICULTURA Y GANADERIA</t>
  </si>
  <si>
    <t>OFICINAS DE LA DEFENSORIA PUBLICA</t>
  </si>
  <si>
    <t>CALLE RIO BALUARTE NO. 1005 Y CALLE RIO QUELITE NO. 27 FRACC. TELLERIA</t>
  </si>
  <si>
    <t>OFIC. DE LA DIREC. DE SERVICIOS DE PROTECCION ZONA SUR DE LA COORDINACION OPERATIVA</t>
  </si>
  <si>
    <t>CALLE FORTIN NO.911, FRACC. LOMAS DEL VALLE</t>
  </si>
  <si>
    <t>CALZ. MAQUIO CLOUTHIER, CERRO DE LAS CUMBRES Y AVE. VICTORIA COL. LOMA LINDA ZONA "D" DEL CENTRO COMERCIAL "PLAZA SUR"</t>
  </si>
  <si>
    <t>CENTRO DE ATENCION INFANTIL # 5 CENDI</t>
  </si>
  <si>
    <t>CALLE RICARDO FLORES MAGON # 68 COL. ANGEL FLORES</t>
  </si>
  <si>
    <t>MODULO DE ATENCION CIUDADANA EN TIJUANA</t>
  </si>
  <si>
    <t>BLVD. GUSTAVO DIAZ ORDAZ NO. 15034, COLONIA GUADALAJARA DEL. MESA EN TIJUANA B.C</t>
  </si>
  <si>
    <t>TIJUANA</t>
  </si>
  <si>
    <t>OFICINA 9 DE LA DIRECCION DEL REGISTRO CIVIL</t>
  </si>
  <si>
    <t>AVE. CUAUHTEMOC PTE.ESQ. CON GUILLERMO PRIETO NO. 202 PLANTA BAJA COL. BIENESTAR</t>
  </si>
  <si>
    <t>AVE. INSURGENTES Y JAVIER MINA S/N COL. CENTRO SINALOA UBICADO EN ZONA "C" UBICADO EN CONJUNTO COMERCIAL "PLAZA FIESTA"</t>
  </si>
  <si>
    <t xml:space="preserve">DELEGACION DE VIALIDAD Y TRANSPORTES EN HIGUERA DE ZARAGOZA </t>
  </si>
  <si>
    <t xml:space="preserve">OFICINA DE LA DIRECCION DE ASUNTOS JURIDICOS </t>
  </si>
  <si>
    <t>AVE. DEL MAR NO. 73 COLONIA FERROCARRILERA</t>
  </si>
  <si>
    <t>OFICIALIA  No. 20 DE LA DIREC. DEL REGISTRO CIVIL</t>
  </si>
  <si>
    <t xml:space="preserve">CALLE DOMINGO RUBI ESQ. CON AVE. FRANCISCO JAVIER MINA </t>
  </si>
  <si>
    <t>QUILÁ</t>
  </si>
  <si>
    <t>ALVARO OBREGON Y BLVD. ANTONIO ROSALES PLAZA LA FIESTA LAS PALMAS LOC. 3, 4 Y 5</t>
  </si>
  <si>
    <t>AV. PAZCUAL OROZCO NO.1949, ESQ. CON CALLE ALTAMIRA, FRACC. NUEVO CULIACAN</t>
  </si>
  <si>
    <t>MODULO DE ATENCION CIUDADANA Y OFICINA DE RECAUDACION Y COLECTURIA</t>
  </si>
  <si>
    <t>OFICINA DE LA SRIA. DE TURISMO ZONA NORTE</t>
  </si>
  <si>
    <t>CALLE IGNACIO ALLENDE 656-C SUR. COL.CENTRO  "PARTE BAJA DEL HOTEL AMERICA PALACIO"</t>
  </si>
  <si>
    <t>ALBERGUE DEL CONSEJO ESTATAL PARA LA PREVENCION Y ATENCION A LA VIOLENCIA FAMILIAR (CEPAVIF)</t>
  </si>
  <si>
    <t>DR. MANUEL ROMERO NO. 93 ORIENTE COLONIA CHAPULTEPEC</t>
  </si>
  <si>
    <t xml:space="preserve">OFICINAS DE SUPERVISION ESCOLAR No. 16 DE SECUNDARIAS </t>
  </si>
  <si>
    <t xml:space="preserve">CALLE RIO SINALOA NO. 825 NORTE, FRACC. JORDAN JIQUILPAN </t>
  </si>
  <si>
    <t xml:space="preserve">OFICINA DE LA COMISION ESTATAL DE BUSQUEDA DE PERSONAS </t>
  </si>
  <si>
    <t>CALLE ANGOSTURA NO. 2003, FRACC. FOVISSSTE PLAYA AZUL</t>
  </si>
  <si>
    <t>OFICINAS DE LA COMISION ESTATAL DE BUSQUEDA DE PERSONAS</t>
  </si>
  <si>
    <t>CALLE IGNACIO MANUEL ALTAMIRANO NO. 783 NORTE COLONIA SCALLY</t>
  </si>
  <si>
    <t>JEFATURA DE SECTOR 05, SUPERVICION ESCOLAR 07 DE EDUCACION PRIMARIA Y ALMACEN DEL PROG. DE UNIFORMES, UTILES Y CALZADO ESCOLAR GRATUITOS</t>
  </si>
  <si>
    <t>AVE. GUILLERMO BATIZ PAREDES NO.216 PTE.</t>
  </si>
  <si>
    <t>SUPERVICION 020 DE EDUCACION SECUNDARIA</t>
  </si>
  <si>
    <t>JEFATURA DE SECTOR  04 Y 06 DE EDUCACION PREESCOLAR</t>
  </si>
  <si>
    <t>SUPERVICION ESCOLAR REGION 1 CENTRO DE EDUCACION FISICA</t>
  </si>
  <si>
    <t>JEFATURA DE SECTOR 01 DE EDUCACION ESPECIAL</t>
  </si>
  <si>
    <t>OFICINAS DEL REFUGIO PARA MUJERES VICTIMAS DE VIOLENCIA DE RIESGO ALTO EXTREMO</t>
  </si>
  <si>
    <t>CALLE GALILEO NO. 844 FRACC. VILLA UNIVERSIDAD</t>
  </si>
  <si>
    <t>EDIFICIOS FISCALIA ARRENDADOS</t>
  </si>
  <si>
    <t>EDIFICIOS FISCALIA EN COMODATO</t>
  </si>
  <si>
    <t>EDIFICIOS FISCALIA PROPIOS</t>
  </si>
  <si>
    <t>PARTIDA 4     EDIFICIOS PÚBLICOS Y CONTENIDOS</t>
  </si>
  <si>
    <t>EDIFICIOS</t>
  </si>
  <si>
    <t>CONTENIDOS</t>
  </si>
  <si>
    <t>EDIFICIOS+CONTENIDOS</t>
  </si>
  <si>
    <t>CONV. EXPRESO FHM</t>
  </si>
  <si>
    <t>REM. ESCOMBROS</t>
  </si>
  <si>
    <t>RC GENERAL</t>
  </si>
  <si>
    <t>RC ARRENDATARIO</t>
  </si>
  <si>
    <t>ROBO MCIAS</t>
  </si>
  <si>
    <t>DINERO&amp;VALORES</t>
  </si>
  <si>
    <t>CRISTALES</t>
  </si>
  <si>
    <t>EQPO ELECTRONICO</t>
  </si>
  <si>
    <t>ROTURA MAQUINARIA</t>
  </si>
  <si>
    <t>ARRENDADO</t>
  </si>
  <si>
    <t>L.U.C.</t>
  </si>
  <si>
    <t>EDIFICIOS +
CONTENIDOS</t>
  </si>
  <si>
    <t>R.C. GENERAL 
S.A.:  $50,000,000</t>
  </si>
  <si>
    <t>R.C. ARRENDATARIO
 S.A.: $20,000,000</t>
  </si>
  <si>
    <t>CRISTALES 
S.A. $500,000</t>
  </si>
  <si>
    <t>EDIFICIO</t>
  </si>
  <si>
    <t>OFICINA DEL TRIBUNAL UNITARIO AGRARIO</t>
  </si>
  <si>
    <t>BODEGA PARA LA DIRECCION DE VIALIDAD Y TRANSPORTES</t>
  </si>
  <si>
    <t>OFICIALIA DEL REGISTRO CIVIL NO. 3</t>
  </si>
  <si>
    <t>SUPERVISION ESCOLAR 03, EDUCACION PRIMARIA</t>
  </si>
  <si>
    <t>SUPERVICIONES ESCOLARES 002 Y 011</t>
  </si>
  <si>
    <t>SUPERVISION PREESCOLAR 067 DE EDUCAION PREESCOLAR</t>
  </si>
  <si>
    <t>PROYECTO ESTRATEGICO DE PROFESIONALIZACION DE AUDITORIA FISCAL</t>
  </si>
  <si>
    <t>CALLE BELISARIO DOMINGUEZ NUM. 743, COL. BIENESTAR</t>
  </si>
  <si>
    <t>SUPERVISION ESCOLAR 043, SECTOR VII EDUC. PRIMARIA</t>
  </si>
  <si>
    <t>BODEGA PARA LA DELEGACION ADMINISTRATIVA DE RECAUDACION DE RENTAS</t>
  </si>
  <si>
    <t>PROCURADURIA DE LA DEFENSA AL CONTRIBUYENTE</t>
  </si>
  <si>
    <t>SUPERVISION ESCOLAR DE EDUCACION PRIMARIA PARTICULARES DE LAS ZONAS 043, 11 Y 041</t>
  </si>
  <si>
    <t>SUPERVISION ESCOLAR DE EDUCACION SECUNDARIA PARTICULARES DE LAS ZONAS 043, 11 Y 041</t>
  </si>
  <si>
    <t>PERIODICO OFICIAL DEL ESTADO</t>
  </si>
  <si>
    <t>OFICILIA DE REGISTRO CIVIL</t>
  </si>
  <si>
    <t>SUPERVISION ESCOLAR No. 051 DE EDUCACION PRIMARIA</t>
  </si>
  <si>
    <t>DELEGACION DE VIALIDAD Y TRANSPORTES EN HIGUERA DE ZARAGOZA</t>
  </si>
  <si>
    <t>OFICINA DE LA DIRECCION DE ASUNTOS JURIDICOS</t>
  </si>
  <si>
    <t>OFICIALIA No. 20 DE LA DIREC. DEL REGISTRO CIVIL</t>
  </si>
  <si>
    <t>CALLE DOMINGO RUBI ESQ. CON AVE. FRANCISCO JAVIER MINA</t>
  </si>
  <si>
    <t>CALLE IGNACIO ALLENDE 656-C SUR. COL.CENTRO "PARTE BAJA DEL HOTEL AMERICA PALACIO"</t>
  </si>
  <si>
    <t>OFICINAS DE SUPERVISION ESCOLAR No. 16 DE SECUNDARIAS</t>
  </si>
  <si>
    <t>CALLE RIO SINALOA NO. 825 NORTE, FRACC. JORDAN JIQUILPAN</t>
  </si>
  <si>
    <t>OFICINA DE LA COMISION ESTATAL DE BUSQUEDA DE PERSONAS</t>
  </si>
  <si>
    <t>JEFATURA DE SECTOR 04 Y 06 DE EDUCACION PREESCOLAR</t>
  </si>
  <si>
    <t>CONVENIO EXPRESO PARA FHM</t>
  </si>
  <si>
    <t>EDIFICIOS PROPIOS GOBIERNO DEL ESTADO DE SINALOA</t>
  </si>
  <si>
    <t>SUBTOTAL EDIFICIOS PROPIOS G.E.S.</t>
  </si>
  <si>
    <t>LIMITE UNICO Y COMBINADO PARA TODAS LAS PARTIDAS  (LUC)</t>
  </si>
  <si>
    <t xml:space="preserve"> </t>
  </si>
  <si>
    <t>REFERENCIA</t>
  </si>
  <si>
    <t>R.C. ARRENDATARIO</t>
  </si>
  <si>
    <t>VALOR 
EDIFICIOS</t>
  </si>
  <si>
    <t>VALOR 
CONTENIDOS</t>
  </si>
  <si>
    <t>REMOCIÓN DE
ESCOMBROS</t>
  </si>
  <si>
    <t>R.C. ACTIV. 
E INMUEBLES</t>
  </si>
  <si>
    <t>ROBO DE 
CONTENIDOS</t>
  </si>
  <si>
    <t>DINERO Y 
VALORES</t>
  </si>
  <si>
    <t>EQUIPO 
ELECTRÓNICO</t>
  </si>
  <si>
    <t>ROTURA DE 
MAQUINARIA</t>
  </si>
  <si>
    <t>INCISOS</t>
  </si>
  <si>
    <t>EDIFICIOS GES EN ARRENDAMIENTO</t>
  </si>
  <si>
    <t xml:space="preserve">EDIFICIOS  G.E.S.
PROPIOS </t>
  </si>
  <si>
    <t>EDIFICIOS  G.E.S.
PROPIOS FISCALIA</t>
  </si>
  <si>
    <t>EDIFICIOS  G.E.S. ARRENDADOS</t>
  </si>
  <si>
    <t xml:space="preserve">EDIFICIOS PROPIOS GOBIERNO DEL ESTADO </t>
  </si>
  <si>
    <t>EDIFICIOS PÚBLICOS Y CONTENIDOS</t>
  </si>
  <si>
    <t>UBICACIONES</t>
  </si>
  <si>
    <t>SUB-PARTIDA</t>
  </si>
  <si>
    <t>EDIFICIOS + CONTENIDOS</t>
  </si>
  <si>
    <t>PRIMER RIESGO</t>
  </si>
  <si>
    <t>TOTAL SUMAS ASEGURADAS</t>
  </si>
  <si>
    <t>LIMITE MAXIMO DE RESPONSABILIDAD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</si>
  <si>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</si>
  <si>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</si>
  <si>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</si>
  <si>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</si>
  <si>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</si>
  <si>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</si>
  <si>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</si>
  <si>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</si>
  <si>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</si>
  <si>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</si>
  <si>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</si>
  <si>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</si>
  <si>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</si>
  <si>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</si>
  <si>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</si>
  <si>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</si>
  <si>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</si>
  <si>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</si>
  <si>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</si>
  <si>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SUBTOTAL EDIFICIOS PROPIOS G.E.S. - FISCALIA</t>
  </si>
  <si>
    <t>TableOfContents</t>
  </si>
  <si>
    <t xml:space="preserve">PARTIDA 3 EDIFICIOS PUBLICOS </t>
  </si>
  <si>
    <t>GES PROPIOS</t>
  </si>
  <si>
    <t>GES ARRENDADOS</t>
  </si>
  <si>
    <t>RESUMEN 1</t>
  </si>
  <si>
    <t>RESUMEN 2</t>
  </si>
  <si>
    <t>RESUMEN2</t>
  </si>
  <si>
    <t>Propios 2022</t>
  </si>
  <si>
    <t>Arrendados 2022</t>
  </si>
  <si>
    <t xml:space="preserve">    CONVENIO EXPRESO PARA FHM</t>
  </si>
  <si>
    <t xml:space="preserve">    REMOCIÓN DE ESCOMBROS</t>
  </si>
  <si>
    <t>R.C. ACTIVIDADES E INMUEBLES</t>
  </si>
  <si>
    <t xml:space="preserve">    R.C. ARRENDATARIO</t>
  </si>
  <si>
    <t xml:space="preserve">    VALOR EDIFICIOS</t>
  </si>
  <si>
    <t xml:space="preserve">    VALOR CONTENIDOS</t>
  </si>
  <si>
    <t>VALOR 
EDIFICIO</t>
  </si>
  <si>
    <r>
      <rPr>
        <sz val="12"/>
        <color theme="1"/>
        <rFont val="Arial"/>
        <family val="2"/>
      </rPr>
      <t>Millones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(primer riesgo)</t>
    </r>
  </si>
  <si>
    <t>Gobierno del Estado de Sinaloa</t>
  </si>
  <si>
    <t>Secretaría de Administración y Finanzas</t>
  </si>
  <si>
    <t>SubSecretaría de Administración</t>
  </si>
  <si>
    <t>Licitación Publica Nacional No. GES __/2022</t>
  </si>
  <si>
    <t>Anexo 3  EDIFICIOS &amp; CONTENIDOS</t>
  </si>
  <si>
    <t>RESUMEN de Sumas Aseguradas por PARTIDA</t>
  </si>
  <si>
    <t>SUBPARTIDA 3.2</t>
  </si>
  <si>
    <t>SUBPARTIDA 3.3</t>
  </si>
  <si>
    <t xml:space="preserve">PARTIDA 3 </t>
  </si>
  <si>
    <t>PARTIDA 3     EDIFICIOS PÚBLICOS Y CONTENIDOS</t>
  </si>
  <si>
    <t>SUBPARTIDA 3.1</t>
  </si>
  <si>
    <t>SUBPARTIDA 3.4</t>
  </si>
  <si>
    <r>
      <t xml:space="preserve">SUBTOTAL EDIFICIOS PROPIOS-FISCALIA </t>
    </r>
    <r>
      <rPr>
        <sz val="10"/>
        <color theme="1"/>
        <rFont val="Arial"/>
        <family val="2"/>
      </rPr>
      <t>(SP 3.4)</t>
    </r>
  </si>
  <si>
    <r>
      <t xml:space="preserve">SUBTOTAL EDIFICIOS COMODATOS-FISCALIA </t>
    </r>
    <r>
      <rPr>
        <sz val="10"/>
        <color theme="1"/>
        <rFont val="Arial"/>
        <family val="2"/>
      </rPr>
      <t>(SP 3.4)</t>
    </r>
  </si>
  <si>
    <r>
      <t xml:space="preserve">SUBTOTAL EDIFICIOS ARRENDADOS-FISCALIA </t>
    </r>
    <r>
      <rPr>
        <sz val="10"/>
        <color theme="1"/>
        <rFont val="Arial"/>
        <family val="2"/>
      </rPr>
      <t>(SP 3.4)</t>
    </r>
  </si>
  <si>
    <r>
      <t>SUBTOTAL EDIFICIOS GES-FISCALIA</t>
    </r>
    <r>
      <rPr>
        <sz val="10"/>
        <color theme="1"/>
        <rFont val="Arial"/>
        <family val="2"/>
      </rPr>
      <t xml:space="preserve"> (SP 3.3)</t>
    </r>
  </si>
  <si>
    <r>
      <t xml:space="preserve">SUBTOTAL EDIFICIOS ARRENDADOS </t>
    </r>
    <r>
      <rPr>
        <sz val="10"/>
        <color theme="1"/>
        <rFont val="Arial"/>
        <family val="2"/>
      </rPr>
      <t>(SP 3.2)</t>
    </r>
  </si>
  <si>
    <r>
      <t xml:space="preserve">SUBTOTAL EDIFICIOS PROPIOS  </t>
    </r>
    <r>
      <rPr>
        <sz val="10"/>
        <rFont val="Arial"/>
        <family val="2"/>
      </rPr>
      <t>(SP 3.1)</t>
    </r>
  </si>
  <si>
    <t>PARTIDA 3</t>
  </si>
  <si>
    <t>Anexo 3</t>
  </si>
  <si>
    <t>EDIFICIOS &amp; CONTENIDOS</t>
  </si>
  <si>
    <t>DOM. CONOCIDO</t>
  </si>
  <si>
    <t>CENTRO DE JUSTICIA PARA LA MUJER EN LA CD DE CULIACÁN</t>
  </si>
  <si>
    <t>SP 3.2</t>
  </si>
  <si>
    <t>SP 3.1</t>
  </si>
  <si>
    <t>TOTAL SUBPARTIDAS 3.1 + 3.2</t>
  </si>
  <si>
    <t>TOTAL SUBPARTIDA 3.3</t>
  </si>
  <si>
    <t>SP 3.3</t>
  </si>
  <si>
    <t xml:space="preserve">CONSEJO TUTELAR PARA MENORES (CENTRO DE INTERNAMIENTO PARA ADOLESCENTES-CIPA) Y ORGANO DE EJECUCION DE MEDIDA PARA ADOLESCENTES (OEEMA) </t>
  </si>
  <si>
    <t>BLVD. ROLANDO ARJONA AMABILIS</t>
  </si>
  <si>
    <t>TOTAL PARTIDA 3</t>
  </si>
  <si>
    <t>EDIFICIOS FISCALIA PROPIOS &amp; RENTA</t>
  </si>
  <si>
    <r>
      <t xml:space="preserve">SUBPARTIDA  </t>
    </r>
    <r>
      <rPr>
        <b/>
        <sz val="12"/>
        <rFont val="Arial"/>
        <family val="2"/>
      </rPr>
      <t>3.1</t>
    </r>
  </si>
  <si>
    <r>
      <t xml:space="preserve">SUBPARTIDA </t>
    </r>
    <r>
      <rPr>
        <b/>
        <sz val="12"/>
        <rFont val="Arial"/>
        <family val="2"/>
      </rPr>
      <t>3.2</t>
    </r>
  </si>
  <si>
    <r>
      <t xml:space="preserve">SUBPARTIDA </t>
    </r>
    <r>
      <rPr>
        <b/>
        <sz val="12"/>
        <rFont val="Arial"/>
        <family val="2"/>
      </rPr>
      <t>3.3</t>
    </r>
  </si>
  <si>
    <r>
      <t xml:space="preserve">SUBPARTIDA </t>
    </r>
    <r>
      <rPr>
        <b/>
        <sz val="12"/>
        <rFont val="Arial"/>
        <family val="2"/>
      </rPr>
      <t>3.4</t>
    </r>
  </si>
  <si>
    <r>
      <t xml:space="preserve">    R.C. ARRENDATARIO  </t>
    </r>
    <r>
      <rPr>
        <sz val="9"/>
        <color theme="1"/>
        <rFont val="Arial"/>
        <family val="2"/>
      </rPr>
      <t>(SUBLIMITE)</t>
    </r>
  </si>
  <si>
    <r>
      <t xml:space="preserve">    CONVENIO EXPRESO FHM  </t>
    </r>
    <r>
      <rPr>
        <sz val="9"/>
        <color theme="1"/>
        <rFont val="Arial"/>
        <family val="2"/>
      </rPr>
      <t>(SUBLIMITE)</t>
    </r>
  </si>
  <si>
    <t xml:space="preserve"> EDIFICIOS FISCALÍA PROPIOS Y ARRENDADOS</t>
  </si>
  <si>
    <t>CONCENTRADO DE SUMAS ASEGURADAS</t>
  </si>
  <si>
    <t>RESUMEN de Sumas Aseguradas por SUBPARTIDA</t>
  </si>
  <si>
    <r>
      <t xml:space="preserve">TOTAL EDIFICIOS FISCALIA </t>
    </r>
    <r>
      <rPr>
        <b/>
        <sz val="10"/>
        <color theme="1"/>
        <rFont val="Arial Narrow"/>
        <family val="2"/>
      </rPr>
      <t>│</t>
    </r>
    <r>
      <rPr>
        <b/>
        <sz val="10"/>
        <color theme="1"/>
        <rFont val="Arial"/>
        <family val="2"/>
      </rPr>
      <t xml:space="preserve"> PROPIOS Y RENTA  (SP 3.4)</t>
    </r>
  </si>
  <si>
    <r>
      <t xml:space="preserve">SUBPARTIDA 3.3  EDIFICIOS FISCALIA </t>
    </r>
    <r>
      <rPr>
        <b/>
        <sz val="14"/>
        <color theme="1"/>
        <rFont val="Arial Narrow"/>
        <family val="2"/>
      </rPr>
      <t>│</t>
    </r>
    <r>
      <rPr>
        <b/>
        <sz val="14"/>
        <color theme="1"/>
        <rFont val="Arial"/>
        <family val="2"/>
      </rPr>
      <t xml:space="preserve"> PROPIOS Y ARRENDADOS</t>
    </r>
  </si>
  <si>
    <r>
      <t xml:space="preserve">R.C. </t>
    </r>
    <r>
      <rPr>
        <b/>
        <sz val="9"/>
        <color theme="0"/>
        <rFont val="Arial"/>
        <family val="2"/>
      </rPr>
      <t>ARRENDATARIO</t>
    </r>
  </si>
  <si>
    <t>EQPO ELEC</t>
  </si>
  <si>
    <t>CONV. EXP FHM</t>
  </si>
  <si>
    <t>SUBPARTIDA</t>
  </si>
  <si>
    <t>LUC</t>
  </si>
  <si>
    <t xml:space="preserve">    EDIFICIOS</t>
  </si>
  <si>
    <t xml:space="preserve">    CONTENIDOS</t>
  </si>
  <si>
    <t xml:space="preserve"> EDIFICIOS + CONTENIDOS</t>
  </si>
  <si>
    <t xml:space="preserve"> R.C. ACTIVIDADES E INMUEBLES</t>
  </si>
  <si>
    <t xml:space="preserve"> ROBO DE CONTENIDOS</t>
  </si>
  <si>
    <t xml:space="preserve"> DINERO Y VALORES</t>
  </si>
  <si>
    <t xml:space="preserve"> CRISTALES</t>
  </si>
  <si>
    <t xml:space="preserve"> EQUIPO ELECTRÓNICO</t>
  </si>
  <si>
    <t xml:space="preserve"> ROTURA DE MAQUINARIA</t>
  </si>
  <si>
    <t>EDIFICIOS  FISCALIA. PROPIOS &amp; RENTA</t>
  </si>
  <si>
    <t xml:space="preserve">     RESUMEN</t>
  </si>
  <si>
    <t>UNIDAD DE BIENES ASEGURADOS</t>
  </si>
  <si>
    <t>UNIDAD DE BIENES ASEGURADOS 2</t>
  </si>
  <si>
    <t>INSPECCION REGIONAL DE INVESTIGACION SAN BLAS</t>
  </si>
  <si>
    <t>UNIDAD INTEGRAL SAN BLAS</t>
  </si>
  <si>
    <t>U EL FUERTE</t>
  </si>
  <si>
    <t>UNIDAD DE ATENCION TEMPRANA Y PRIMER CONTACTO GUASAVE</t>
  </si>
  <si>
    <t>UNIDAD MUJERES GUASAVE</t>
  </si>
  <si>
    <t>AGENCIA QUINTA MAZATLAN</t>
  </si>
  <si>
    <t>PROCOPIO PLANTA ALTA</t>
  </si>
  <si>
    <t>INSPECCION REGIONAL CONCORDIA</t>
  </si>
  <si>
    <t>PARCELA NO. 0081 DEL EDIJO TIERRA BLANCA, MARGEN IZQUIERDO DE LA CARRETERA CULIACAN IMALA KM 3, SINALOA</t>
  </si>
  <si>
    <t>CALLE 20 DE NOVIEMBRE POSTE 26 S/N, ENTRE CALLE GABRIEL LEYVA Y ANTONIO ROSALES, SAN BLAS, EL FUERTE, SINALOA</t>
  </si>
  <si>
    <t>AVENIDA 20 DE NOVIEMBRE SIN NUMERO COL. CENTRO, SAN BLAS EL FUERTE</t>
  </si>
  <si>
    <t>CALLE PALACIO COLONIA CENTRO CP 81700 CENTRO, PRESIDENCIA MPAL. DE EL FUERTE, SINALOA</t>
  </si>
  <si>
    <t>AVE. LAZARO CARDENAS, ENTRE CALLE JOSE MARIA PINO SUAREZ, COL. ANGEL FLORES, GUASAVE, SINALOA</t>
  </si>
  <si>
    <t>AV. PLAYA GAVIOTAS ZONA DORADA NO. 202, MAZATLAN, SINALOA</t>
  </si>
  <si>
    <t>CALLE RIO CHACHALACAS, NO. 313 NTE. LOCAL 6, 7 Y 8 COLONIA PALOS PRIETOS, MAZATLAN, SINALOA</t>
  </si>
  <si>
    <t>JOSEFA ORTIZ DE DOMINGUEZ 51 COL. CENTRO, CONCORDIA, SINALOA</t>
  </si>
  <si>
    <t>SAN BLAS</t>
  </si>
  <si>
    <t>U GUARDERIA</t>
  </si>
  <si>
    <t>TEOFILO NORIS (NORTE) NO. 426 HIDALGO Y ANGEL FLORES COLONIA CENTRO, CULIACAN, SINALOA</t>
  </si>
  <si>
    <t>INSPECCION BADIRAGUATO</t>
  </si>
  <si>
    <t>EDIFICIO FISCALIA</t>
  </si>
  <si>
    <t>PERICIALES CULIACAN</t>
  </si>
  <si>
    <t>U ADOLESCENTES CLN</t>
  </si>
  <si>
    <t>UEA</t>
  </si>
  <si>
    <t>EDIFICIO POLICIA INVESTIGADORA</t>
  </si>
  <si>
    <t>FISCALIA ESP. DESAPARICIONES FORZADAS</t>
  </si>
  <si>
    <t>JUZGADOS ADSCRITOS MOCHIS</t>
  </si>
  <si>
    <t>SEMEFO MOCHIS</t>
  </si>
  <si>
    <t>INSPECCION LOS MOCHIS</t>
  </si>
  <si>
    <t>INSPECCION GUASAVE</t>
  </si>
  <si>
    <t>C JUSTICIA ANGOSTURA</t>
  </si>
  <si>
    <t>INSPECCION COSALA</t>
  </si>
  <si>
    <t>INSPECCION LA CRUZ</t>
  </si>
  <si>
    <t>JUZGADOS ADSCRITOS MAZATLAN</t>
  </si>
  <si>
    <t>CALZADA H. COLEGIO MILITAR S/N Y COLONIA EL YANO. CARRETERA PARRAL CHIHUAHUA</t>
  </si>
  <si>
    <t>BLVD. ENRIQUE SANCHEZ ALONSO NO. 1833 DESARROLLO URBANO TRES RIOS, CULIACAN, SINALOA, CP. 80020</t>
  </si>
  <si>
    <t>CARRETERA A NAVOLATO KM. 9.5 COLONIA AGUARUTO, CULIACAN, SINALOA, CP 80140</t>
  </si>
  <si>
    <t>CARRETERA A NAVOLATO KM. 9.5 ENSEGUIDA DEL TUTELAR DE MENORES COLONIA AGUARUTO, CULIACAN, SINALOA</t>
  </si>
  <si>
    <t>AV. FEDERALISMO Y JORGE JULIAN CHAVEZ CASTRO NO. 823 COLONIA RECURSOS HIDRAULICOS, CULIACAN, SINALOA, CP 80105</t>
  </si>
  <si>
    <t>BLVD. EMILIANO ZAPATA NO. 1992 PTE. COLONIA VALLADO NUEVO, CULIACAN, SINALOA, CP 80110</t>
  </si>
  <si>
    <t>CARRETERA A NAVOLATO, KM. 9.5 COLONIA AGUARUTO, CULIACAN, SINALOA, CP 80308</t>
  </si>
  <si>
    <t>NO. 2, EJIDO GOROS, LOS MOCHIS, AHOME, SINALOA, CP 81306</t>
  </si>
  <si>
    <t>C. HERIBERTO VALDEZ Y BLVD. RIO FUERTE NO. 455 COLONIA SCALLY, LOS MOCHIS, AHOME, SINALOA, CP 81240</t>
  </si>
  <si>
    <t>AV. ADOLFO LOPEZ MATEO Y L.MANUEL PONCE S/N COLONIA EJIDAL, GUASAVE, SINALOA, CP 81020</t>
  </si>
  <si>
    <t>CARRETERA ANGOSTURA-GUAMUCHIL KM 6.5 EJIDO CAPOMOS, ANGOSTURA, SINALOA, CP 81601</t>
  </si>
  <si>
    <t>CARRETERA COSALA SIERRA MOJADA FRENTE AL MOLINO KM 53, COSALA, SINALOA, CP 80706</t>
  </si>
  <si>
    <t>CARRETERA LA CRUZ DE ELOTA, ARROYITOS KM 16.5, LA CRUZ, ELOTA, SINALOA, CP 82702</t>
  </si>
  <si>
    <t>EL CASTILLO EN EL CEREZO KM. 9, MAZATLAN, SINALOA, CP 82150</t>
  </si>
  <si>
    <t>UNIDAD ADMINISTRATIVA</t>
  </si>
  <si>
    <t>U MOCORITO</t>
  </si>
  <si>
    <t>U LOS MOCHIS</t>
  </si>
  <si>
    <t>UNIDAD CHOIX</t>
  </si>
  <si>
    <t>U GUASAVE</t>
  </si>
  <si>
    <t>AGENCIAS, TRADICIONAL Y ADSCRITA EN GUAMUCHIL</t>
  </si>
  <si>
    <t>U SINALOA DE LEYVA</t>
  </si>
  <si>
    <t>VICEFISCALIA ZONA SUR</t>
  </si>
  <si>
    <t>UNIDAD ADOLESCENTES MAZATLAN</t>
  </si>
  <si>
    <t>U ESCUINAPA</t>
  </si>
  <si>
    <t>UNIDAD ROSARIO</t>
  </si>
  <si>
    <t>DR. JOSE LEY DOMINGUEZ E INDEPENDENCIA UNIDAD ADMINISTRATIVA, MOCORITO, SINALOA</t>
  </si>
  <si>
    <t>IGNACIO ZARAGOZA Y BENITO JUAREZ SUR NO. 223 ZARAGOZA Y BENITO JUAREZ COLONIA CENTRO, LOS MOCHIS, AHOME, SINALOA CP 81200</t>
  </si>
  <si>
    <t>CONSTITUCION NO. 2 BUELNA Y PINO SUAREZ COLONIA CENTRO</t>
  </si>
  <si>
    <t>BLVD. LAZARO CARDENAS ENTRE TELLEZ Y PINO SUAREZ, COLONIA ANGEL FLORES, GUASAVE, SINALOA</t>
  </si>
  <si>
    <t>BLVD. A. ROSALES ESQUINA CON AQUILES SERDAN, PLANTA ALTA UNIDAD ADMINISTRATIVA COLONIA MORELOS, GUAMUCHIL, SALVADOR ALVARADO, SINALOA</t>
  </si>
  <si>
    <t>BENITO JUAREZ Y DANIEL GAMEZ ENRIQUEZ, COLONIA CENTRO, SINALOA DE LEYVA, SINALOA</t>
  </si>
  <si>
    <t>RIO CULIACAN COLONIA FRAC. TELLERIAS (2DO. PISO U. ADMINISTRATIVA), MAZATLAN, SINALOA</t>
  </si>
  <si>
    <t>AV. INSURGENTES CON CALLE PRIVADA DEL ASTILLERO NO. 4801 COL. JUAREZ, MAZATLAN, SINALOA</t>
  </si>
  <si>
    <t>CALLE FRANCISCO VILLA, ESQUINA CON MARIA DE LOS ANGELES POLANCO COL CENTRO, ESCUINAPA, SINALOA</t>
  </si>
  <si>
    <t>20 DE NOVIEMBRE NORTE Y COLONIA EL ROSARIO CENTRO, ROSARIO, SINALOA</t>
  </si>
  <si>
    <r>
      <t xml:space="preserve">TOTAL EDIFICIOS FISCALIA </t>
    </r>
    <r>
      <rPr>
        <b/>
        <sz val="11"/>
        <color theme="1"/>
        <rFont val="Arial Narrow"/>
        <family val="2"/>
      </rPr>
      <t>│</t>
    </r>
    <r>
      <rPr>
        <b/>
        <sz val="11"/>
        <color theme="1"/>
        <rFont val="Arial"/>
        <family val="2"/>
      </rPr>
      <t xml:space="preserve"> PROPIOS, COMODATO Y ARRENDADOS (SP 3.4)</t>
    </r>
  </si>
  <si>
    <t>EDIFICIOS FISCALIA UNIDAD ADMINISTRATIVA</t>
  </si>
  <si>
    <t>SUBTOTAL EDIFICIOS UNIDAD ADMVA-FISCALIA</t>
  </si>
  <si>
    <r>
      <t xml:space="preserve">EDIFICIOS  G.E.S.
PROPIOS </t>
    </r>
    <r>
      <rPr>
        <b/>
        <sz val="12"/>
        <color rgb="FF003E00"/>
        <rFont val="Arial Narrow"/>
        <family val="2"/>
      </rPr>
      <t>│</t>
    </r>
    <r>
      <rPr>
        <b/>
        <sz val="12"/>
        <color rgb="FF003E00"/>
        <rFont val="Arial"/>
        <family val="2"/>
      </rPr>
      <t xml:space="preserve"> FISCALIA</t>
    </r>
  </si>
  <si>
    <t>→</t>
  </si>
  <si>
    <r>
      <t xml:space="preserve">  INDICE    </t>
    </r>
    <r>
      <rPr>
        <b/>
        <sz val="36"/>
        <color theme="1"/>
        <rFont val="Arial Narrow"/>
        <family val="2"/>
      </rPr>
      <t>│</t>
    </r>
    <r>
      <rPr>
        <b/>
        <sz val="36"/>
        <color theme="1"/>
        <rFont val="Calibri"/>
        <family val="2"/>
        <scheme val="minor"/>
      </rPr>
      <t xml:space="preserve">  PARTIDA 3</t>
    </r>
  </si>
  <si>
    <t>Licitación Publica Nacional No. GES 22/2022</t>
  </si>
  <si>
    <t>Partida 3</t>
  </si>
  <si>
    <t>LICITACION PUBLICA NACIONAL No GES 22/2022</t>
  </si>
  <si>
    <t>EDIFICIOS FISCALÍA GENERAL - GOBIERNO DEL ESTADO</t>
  </si>
  <si>
    <t>EDIFICIOS GES ARRENDADOS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</si>
</sst>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&quot;$&quot;\ \ \ #,##0"/>
    <numFmt numFmtId="169" formatCode="#,##0.0_);\(#,##0.0\)"/>
    <numFmt numFmtId="170" formatCode="&quot;$&quot;\ \ #,##0"/>
    <numFmt numFmtId="171" formatCode="&quot;$&quot;\ #,##0"/>
  </numFmts>
  <fonts count="8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C00000"/>
      <name val="Arial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sz val="14"/>
      <color rgb="FFC00000"/>
      <name val="Arial"/>
      <family val="2"/>
    </font>
    <font>
      <sz val="7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2"/>
      <color rgb="FFC0000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6100"/>
      <name val="Arial"/>
      <family val="2"/>
    </font>
    <font>
      <b/>
      <sz val="14"/>
      <color rgb="FF006100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rgb="FFC0000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 Narrow"/>
      <family val="2"/>
    </font>
    <font>
      <b/>
      <sz val="36"/>
      <color theme="1"/>
      <name val="Calibri"/>
      <family val="2"/>
      <scheme val="minor"/>
    </font>
    <font>
      <b/>
      <sz val="14"/>
      <color theme="6" tint="-0.499984740745262"/>
      <name val="Arial"/>
      <family val="2"/>
    </font>
    <font>
      <b/>
      <sz val="16"/>
      <color rgb="FFC0000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"/>
      <family val="2"/>
    </font>
    <font>
      <b/>
      <sz val="16"/>
      <color rgb="FFC00000"/>
      <name val="Arial"/>
      <family val="2"/>
    </font>
    <font>
      <b/>
      <sz val="12"/>
      <color rgb="FF003E00"/>
      <name val="Arial"/>
      <family val="2"/>
    </font>
    <font>
      <b/>
      <sz val="12"/>
      <color rgb="FF003E00"/>
      <name val="Arial Narrow"/>
      <family val="2"/>
    </font>
    <font>
      <b/>
      <sz val="36"/>
      <color theme="1"/>
      <name val="Arial Narrow"/>
      <family val="2"/>
    </font>
    <font>
      <sz val="18"/>
      <color theme="1"/>
      <name val="Calibri"/>
      <family val="2"/>
      <scheme val="minor"/>
    </font>
    <font>
      <sz val="18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rgb="FF003E00"/>
      </left>
      <right style="hair">
        <color rgb="FF003E00"/>
      </right>
      <top style="thin">
        <color indexed="64"/>
      </top>
      <bottom/>
      <diagonal/>
    </border>
    <border>
      <left style="hair">
        <color rgb="FF003E00"/>
      </left>
      <right style="hair">
        <color rgb="FF003E00"/>
      </right>
      <top/>
      <bottom style="thick">
        <color indexed="64"/>
      </bottom>
      <diagonal/>
    </border>
    <border>
      <left/>
      <right/>
      <top/>
      <bottom style="hair">
        <color rgb="FF003E00"/>
      </bottom>
      <diagonal/>
    </border>
    <border>
      <left style="hair">
        <color rgb="FF003E00"/>
      </left>
      <right style="hair">
        <color rgb="FF003E00"/>
      </right>
      <top/>
      <bottom style="hair">
        <color rgb="FF003E00"/>
      </bottom>
      <diagonal/>
    </border>
    <border>
      <left style="thin">
        <color indexed="64"/>
      </left>
      <right/>
      <top/>
      <bottom style="hair">
        <color rgb="FF003E00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8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64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33" borderId="0" xfId="0" applyFont="1" applyFill="1"/>
    <xf numFmtId="43" fontId="20" fillId="35" borderId="1" xfId="32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wrapText="1"/>
    </xf>
    <xf numFmtId="4" fontId="20" fillId="35" borderId="1" xfId="0" applyNumberFormat="1" applyFont="1" applyFill="1" applyBorder="1" applyAlignment="1">
      <alignment horizontal="center" vertical="center" wrapText="1"/>
    </xf>
    <xf numFmtId="4" fontId="20" fillId="35" borderId="1" xfId="3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4" fontId="21" fillId="0" borderId="0" xfId="0" applyNumberFormat="1" applyFont="1" applyAlignment="1">
      <alignment vertical="top"/>
    </xf>
    <xf numFmtId="0" fontId="25" fillId="34" borderId="11" xfId="0" applyFont="1" applyFill="1" applyBorder="1" applyAlignment="1">
      <alignment horizontal="center" vertical="top" wrapText="1"/>
    </xf>
    <xf numFmtId="4" fontId="25" fillId="35" borderId="11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/>
    </xf>
    <xf numFmtId="0" fontId="26" fillId="0" borderId="11" xfId="0" applyFont="1" applyBorder="1" applyAlignment="1">
      <alignment horizontal="left" vertical="top"/>
    </xf>
    <xf numFmtId="0" fontId="19" fillId="0" borderId="11" xfId="0" applyFont="1" applyBorder="1" applyAlignment="1">
      <alignment horizontal="center" vertical="top"/>
    </xf>
    <xf numFmtId="4" fontId="19" fillId="0" borderId="11" xfId="0" applyNumberFormat="1" applyFont="1" applyBorder="1" applyAlignment="1">
      <alignment horizontal="center" vertical="top"/>
    </xf>
    <xf numFmtId="43" fontId="19" fillId="0" borderId="11" xfId="0" applyNumberFormat="1" applyFont="1" applyBorder="1"/>
    <xf numFmtId="0" fontId="19" fillId="0" borderId="11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4" fontId="19" fillId="0" borderId="11" xfId="0" applyNumberFormat="1" applyFont="1" applyBorder="1" applyAlignment="1">
      <alignment horizontal="center" vertical="top" wrapText="1"/>
    </xf>
    <xf numFmtId="0" fontId="19" fillId="33" borderId="11" xfId="0" applyFont="1" applyFill="1" applyBorder="1" applyAlignment="1">
      <alignment vertical="top"/>
    </xf>
    <xf numFmtId="0" fontId="26" fillId="33" borderId="11" xfId="0" applyFont="1" applyFill="1" applyBorder="1" applyAlignment="1">
      <alignment horizontal="left" vertical="top"/>
    </xf>
    <xf numFmtId="0" fontId="19" fillId="33" borderId="11" xfId="0" applyFont="1" applyFill="1" applyBorder="1" applyAlignment="1">
      <alignment horizontal="center" vertical="top"/>
    </xf>
    <xf numFmtId="43" fontId="19" fillId="0" borderId="11" xfId="0" applyNumberFormat="1" applyFont="1" applyBorder="1" applyAlignment="1">
      <alignment vertical="top"/>
    </xf>
    <xf numFmtId="0" fontId="19" fillId="0" borderId="11" xfId="0" applyFont="1" applyBorder="1" applyAlignment="1">
      <alignment horizontal="left" vertical="top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/>
    </xf>
    <xf numFmtId="0" fontId="26" fillId="0" borderId="11" xfId="0" applyFont="1" applyBorder="1" applyAlignment="1">
      <alignment horizontal="center" vertical="top"/>
    </xf>
    <xf numFmtId="4" fontId="19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vertical="top"/>
    </xf>
    <xf numFmtId="0" fontId="26" fillId="33" borderId="11" xfId="0" applyFont="1" applyFill="1" applyBorder="1" applyAlignment="1">
      <alignment horizontal="center" vertical="top"/>
    </xf>
    <xf numFmtId="0" fontId="19" fillId="0" borderId="11" xfId="0" applyFont="1" applyBorder="1"/>
    <xf numFmtId="43" fontId="25" fillId="0" borderId="11" xfId="0" applyNumberFormat="1" applyFont="1" applyBorder="1"/>
    <xf numFmtId="0" fontId="18" fillId="0" borderId="0" xfId="0" applyFont="1"/>
    <xf numFmtId="0" fontId="18" fillId="36" borderId="0" xfId="0" applyFont="1" applyFill="1"/>
    <xf numFmtId="0" fontId="20" fillId="34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0" xfId="0" applyFont="1"/>
    <xf numFmtId="4" fontId="19" fillId="0" borderId="0" xfId="0" applyNumberFormat="1" applyFont="1"/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vertical="top"/>
    </xf>
    <xf numFmtId="0" fontId="22" fillId="0" borderId="12" xfId="0" applyFont="1" applyBorder="1" applyAlignment="1">
      <alignment horizontal="left" vertical="top"/>
    </xf>
    <xf numFmtId="43" fontId="21" fillId="0" borderId="12" xfId="0" applyNumberFormat="1" applyFont="1" applyBorder="1"/>
    <xf numFmtId="4" fontId="21" fillId="0" borderId="12" xfId="0" applyNumberFormat="1" applyFont="1" applyBorder="1"/>
    <xf numFmtId="4" fontId="21" fillId="33" borderId="12" xfId="0" applyNumberFormat="1" applyFont="1" applyFill="1" applyBorder="1"/>
    <xf numFmtId="43" fontId="21" fillId="33" borderId="12" xfId="32" applyFont="1" applyFill="1" applyBorder="1"/>
    <xf numFmtId="0" fontId="21" fillId="33" borderId="12" xfId="0" applyFont="1" applyFill="1" applyBorder="1"/>
    <xf numFmtId="4" fontId="21" fillId="33" borderId="12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43" fontId="22" fillId="0" borderId="12" xfId="0" applyNumberFormat="1" applyFont="1" applyBorder="1"/>
    <xf numFmtId="0" fontId="21" fillId="33" borderId="12" xfId="0" applyFont="1" applyFill="1" applyBorder="1" applyAlignment="1">
      <alignment vertical="top"/>
    </xf>
    <xf numFmtId="0" fontId="22" fillId="33" borderId="12" xfId="0" applyFont="1" applyFill="1" applyBorder="1" applyAlignment="1">
      <alignment horizontal="left" vertical="top"/>
    </xf>
    <xf numFmtId="0" fontId="21" fillId="33" borderId="12" xfId="0" applyFont="1" applyFill="1" applyBorder="1" applyAlignment="1">
      <alignment horizontal="center" vertical="top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/>
    </xf>
    <xf numFmtId="4" fontId="21" fillId="33" borderId="12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top"/>
    </xf>
    <xf numFmtId="0" fontId="22" fillId="0" borderId="12" xfId="0" applyFont="1" applyBorder="1" applyAlignment="1">
      <alignment horizontal="center" vertical="top"/>
    </xf>
    <xf numFmtId="0" fontId="22" fillId="33" borderId="12" xfId="0" applyFont="1" applyFill="1" applyBorder="1" applyAlignment="1">
      <alignment horizontal="center"/>
    </xf>
    <xf numFmtId="0" fontId="23" fillId="33" borderId="12" xfId="0" applyFont="1" applyFill="1" applyBorder="1"/>
    <xf numFmtId="0" fontId="22" fillId="33" borderId="12" xfId="0" applyFont="1" applyFill="1" applyBorder="1"/>
    <xf numFmtId="4" fontId="21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/>
    <xf numFmtId="0" fontId="21" fillId="0" borderId="12" xfId="0" applyFont="1" applyBorder="1" applyAlignment="1">
      <alignment horizontal="center"/>
    </xf>
    <xf numFmtId="0" fontId="21" fillId="0" borderId="12" xfId="0" applyFont="1" applyBorder="1"/>
    <xf numFmtId="44" fontId="21" fillId="0" borderId="12" xfId="33" applyFont="1" applyFill="1" applyBorder="1"/>
    <xf numFmtId="43" fontId="21" fillId="0" borderId="12" xfId="32" applyFont="1" applyFill="1" applyBorder="1"/>
    <xf numFmtId="0" fontId="22" fillId="33" borderId="12" xfId="0" applyFont="1" applyFill="1" applyBorder="1" applyAlignment="1">
      <alignment vertical="top"/>
    </xf>
    <xf numFmtId="0" fontId="22" fillId="33" borderId="12" xfId="0" applyFont="1" applyFill="1" applyBorder="1" applyAlignment="1">
      <alignment horizontal="center" vertical="top"/>
    </xf>
    <xf numFmtId="1" fontId="21" fillId="0" borderId="12" xfId="0" applyNumberFormat="1" applyFont="1" applyBorder="1"/>
    <xf numFmtId="43" fontId="21" fillId="0" borderId="13" xfId="0" applyNumberFormat="1" applyFont="1" applyBorder="1"/>
    <xf numFmtId="4" fontId="21" fillId="0" borderId="0" xfId="0" applyNumberFormat="1" applyFont="1"/>
    <xf numFmtId="0" fontId="21" fillId="0" borderId="0" xfId="0" applyFont="1"/>
    <xf numFmtId="44" fontId="21" fillId="0" borderId="12" xfId="33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vertical="top"/>
    </xf>
    <xf numFmtId="43" fontId="19" fillId="0" borderId="0" xfId="0" applyNumberFormat="1" applyFont="1"/>
    <xf numFmtId="0" fontId="21" fillId="0" borderId="14" xfId="0" applyFont="1" applyBorder="1" applyAlignment="1">
      <alignment vertical="top"/>
    </xf>
    <xf numFmtId="0" fontId="21" fillId="0" borderId="14" xfId="0" applyFont="1" applyBorder="1"/>
    <xf numFmtId="4" fontId="21" fillId="0" borderId="14" xfId="0" applyNumberFormat="1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43" fontId="21" fillId="0" borderId="0" xfId="0" applyNumberFormat="1" applyFont="1"/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top" wrapText="1"/>
    </xf>
    <xf numFmtId="44" fontId="21" fillId="0" borderId="12" xfId="33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23" fillId="33" borderId="15" xfId="0" applyFont="1" applyFill="1" applyBorder="1"/>
    <xf numFmtId="0" fontId="21" fillId="0" borderId="15" xfId="0" applyFont="1" applyBorder="1" applyAlignment="1">
      <alignment horizontal="center" vertical="top"/>
    </xf>
    <xf numFmtId="43" fontId="20" fillId="0" borderId="15" xfId="0" applyNumberFormat="1" applyFont="1" applyBorder="1"/>
    <xf numFmtId="4" fontId="21" fillId="0" borderId="13" xfId="0" applyNumberFormat="1" applyFont="1" applyBorder="1"/>
    <xf numFmtId="0" fontId="20" fillId="0" borderId="0" xfId="0" applyFont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/>
    </xf>
    <xf numFmtId="0" fontId="30" fillId="33" borderId="13" xfId="0" applyFont="1" applyFill="1" applyBorder="1" applyAlignment="1">
      <alignment horizontal="left" vertical="top"/>
    </xf>
    <xf numFmtId="0" fontId="21" fillId="33" borderId="13" xfId="0" applyFont="1" applyFill="1" applyBorder="1" applyAlignment="1">
      <alignment vertical="top"/>
    </xf>
    <xf numFmtId="4" fontId="21" fillId="33" borderId="13" xfId="0" applyNumberFormat="1" applyFont="1" applyFill="1" applyBorder="1"/>
    <xf numFmtId="0" fontId="21" fillId="33" borderId="13" xfId="0" applyFont="1" applyFill="1" applyBorder="1"/>
    <xf numFmtId="0" fontId="21" fillId="33" borderId="0" xfId="0" applyFont="1" applyFill="1" applyAlignment="1">
      <alignment horizontal="center" vertical="top"/>
    </xf>
    <xf numFmtId="0" fontId="21" fillId="33" borderId="0" xfId="0" applyFont="1" applyFill="1" applyAlignment="1">
      <alignment vertical="top"/>
    </xf>
    <xf numFmtId="0" fontId="22" fillId="33" borderId="0" xfId="0" applyFont="1" applyFill="1" applyAlignment="1">
      <alignment horizontal="left" vertical="top"/>
    </xf>
    <xf numFmtId="0" fontId="22" fillId="33" borderId="0" xfId="0" applyFont="1" applyFill="1" applyAlignment="1">
      <alignment vertical="top"/>
    </xf>
    <xf numFmtId="0" fontId="22" fillId="33" borderId="0" xfId="0" applyFont="1" applyFill="1" applyAlignment="1">
      <alignment horizontal="center" vertical="top"/>
    </xf>
    <xf numFmtId="0" fontId="27" fillId="33" borderId="12" xfId="0" applyFont="1" applyFill="1" applyBorder="1" applyAlignment="1">
      <alignment horizontal="center" vertical="top"/>
    </xf>
    <xf numFmtId="0" fontId="31" fillId="0" borderId="0" xfId="0" applyFont="1"/>
    <xf numFmtId="0" fontId="31" fillId="0" borderId="16" xfId="0" applyFont="1" applyBorder="1" applyAlignment="1">
      <alignment vertical="center"/>
    </xf>
    <xf numFmtId="0" fontId="31" fillId="37" borderId="16" xfId="0" applyFont="1" applyFill="1" applyBorder="1" applyAlignment="1">
      <alignment horizontal="center" vertical="center"/>
    </xf>
    <xf numFmtId="0" fontId="31" fillId="37" borderId="16" xfId="0" applyFont="1" applyFill="1" applyBorder="1" applyAlignment="1">
      <alignment vertical="center"/>
    </xf>
    <xf numFmtId="0" fontId="31" fillId="37" borderId="16" xfId="0" applyFont="1" applyFill="1" applyBorder="1" applyAlignment="1">
      <alignment horizontal="left" vertical="center"/>
    </xf>
    <xf numFmtId="0" fontId="27" fillId="37" borderId="16" xfId="0" applyFont="1" applyFill="1" applyBorder="1" applyAlignment="1">
      <alignment vertical="center"/>
    </xf>
    <xf numFmtId="43" fontId="27" fillId="37" borderId="16" xfId="0" applyNumberFormat="1" applyFont="1" applyFill="1" applyBorder="1" applyAlignment="1">
      <alignment vertical="center"/>
    </xf>
    <xf numFmtId="0" fontId="20" fillId="35" borderId="12" xfId="0" applyFont="1" applyFill="1" applyBorder="1" applyAlignment="1">
      <alignment horizontal="right" vertical="top"/>
    </xf>
    <xf numFmtId="0" fontId="27" fillId="35" borderId="12" xfId="0" applyFont="1" applyFill="1" applyBorder="1"/>
    <xf numFmtId="0" fontId="20" fillId="35" borderId="12" xfId="0" applyFont="1" applyFill="1" applyBorder="1" applyAlignment="1">
      <alignment horizontal="center" vertical="top"/>
    </xf>
    <xf numFmtId="43" fontId="27" fillId="35" borderId="12" xfId="0" applyNumberFormat="1" applyFont="1" applyFill="1" applyBorder="1"/>
    <xf numFmtId="0" fontId="27" fillId="35" borderId="12" xfId="0" applyFont="1" applyFill="1" applyBorder="1" applyAlignment="1">
      <alignment horizontal="right" vertical="top"/>
    </xf>
    <xf numFmtId="0" fontId="27" fillId="35" borderId="12" xfId="0" applyFont="1" applyFill="1" applyBorder="1" applyAlignment="1">
      <alignment horizontal="center" vertical="top"/>
    </xf>
    <xf numFmtId="0" fontId="21" fillId="35" borderId="15" xfId="0" applyFont="1" applyFill="1" applyBorder="1" applyAlignment="1">
      <alignment horizontal="center" vertical="top"/>
    </xf>
    <xf numFmtId="0" fontId="21" fillId="35" borderId="15" xfId="0" applyFont="1" applyFill="1" applyBorder="1" applyAlignment="1">
      <alignment vertical="top"/>
    </xf>
    <xf numFmtId="0" fontId="21" fillId="35" borderId="15" xfId="0" applyFont="1" applyFill="1" applyBorder="1" applyAlignment="1">
      <alignment horizontal="left" vertical="top"/>
    </xf>
    <xf numFmtId="1" fontId="27" fillId="35" borderId="15" xfId="0" applyNumberFormat="1" applyFont="1" applyFill="1" applyBorder="1"/>
    <xf numFmtId="0" fontId="28" fillId="35" borderId="15" xfId="0" applyFont="1" applyFill="1" applyBorder="1" applyAlignment="1">
      <alignment horizontal="center" vertical="top"/>
    </xf>
    <xf numFmtId="0" fontId="28" fillId="35" borderId="15" xfId="0" applyFont="1" applyFill="1" applyBorder="1" applyAlignment="1">
      <alignment vertical="top"/>
    </xf>
    <xf numFmtId="43" fontId="27" fillId="35" borderId="15" xfId="0" applyNumberFormat="1" applyFont="1" applyFill="1" applyBorder="1"/>
    <xf numFmtId="0" fontId="27" fillId="35" borderId="12" xfId="0" applyFont="1" applyFill="1" applyBorder="1" applyAlignment="1">
      <alignment vertical="top"/>
    </xf>
    <xf numFmtId="0" fontId="27" fillId="35" borderId="12" xfId="0" applyFont="1" applyFill="1" applyBorder="1" applyAlignment="1">
      <alignment horizontal="left" vertical="top"/>
    </xf>
    <xf numFmtId="0" fontId="29" fillId="35" borderId="12" xfId="0" applyFont="1" applyFill="1" applyBorder="1"/>
    <xf numFmtId="43" fontId="18" fillId="36" borderId="0" xfId="32" applyFont="1" applyFill="1"/>
    <xf numFmtId="43" fontId="0" fillId="0" borderId="0" xfId="32" applyFont="1"/>
    <xf numFmtId="4" fontId="19" fillId="0" borderId="13" xfId="0" applyNumberFormat="1" applyFont="1" applyBorder="1"/>
    <xf numFmtId="4" fontId="21" fillId="0" borderId="12" xfId="0" applyNumberFormat="1" applyFont="1" applyBorder="1" applyAlignment="1">
      <alignment vertical="top"/>
    </xf>
    <xf numFmtId="4" fontId="19" fillId="0" borderId="0" xfId="0" applyNumberFormat="1" applyFont="1" applyAlignment="1">
      <alignment horizontal="center"/>
    </xf>
    <xf numFmtId="4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4" fillId="38" borderId="12" xfId="0" applyFont="1" applyFill="1" applyBorder="1" applyAlignment="1">
      <alignment horizontal="center" vertical="center" wrapText="1"/>
    </xf>
    <xf numFmtId="4" fontId="34" fillId="38" borderId="12" xfId="0" applyNumberFormat="1" applyFont="1" applyFill="1" applyBorder="1" applyAlignment="1">
      <alignment horizontal="center" vertical="center" wrapText="1"/>
    </xf>
    <xf numFmtId="4" fontId="34" fillId="38" borderId="12" xfId="32" applyNumberFormat="1" applyFont="1" applyFill="1" applyBorder="1" applyAlignment="1">
      <alignment horizontal="center" vertical="center" wrapText="1"/>
    </xf>
    <xf numFmtId="43" fontId="34" fillId="38" borderId="12" xfId="32" applyFont="1" applyFill="1" applyBorder="1" applyAlignment="1">
      <alignment horizontal="center" vertical="center" wrapText="1"/>
    </xf>
    <xf numFmtId="43" fontId="35" fillId="38" borderId="12" xfId="32" applyFont="1" applyFill="1" applyBorder="1" applyAlignment="1">
      <alignment horizontal="center" vertical="center" wrapText="1"/>
    </xf>
    <xf numFmtId="0" fontId="32" fillId="33" borderId="0" xfId="0" applyFont="1" applyFill="1"/>
    <xf numFmtId="0" fontId="32" fillId="0" borderId="12" xfId="0" applyFont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left" vertical="top"/>
    </xf>
    <xf numFmtId="0" fontId="36" fillId="0" borderId="13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44" fontId="24" fillId="33" borderId="12" xfId="33" applyFont="1" applyFill="1" applyBorder="1" applyAlignment="1">
      <alignment horizontal="center"/>
    </xf>
    <xf numFmtId="43" fontId="21" fillId="33" borderId="12" xfId="32" applyFont="1" applyFill="1" applyBorder="1" applyAlignment="1">
      <alignment horizontal="center"/>
    </xf>
    <xf numFmtId="43" fontId="21" fillId="33" borderId="12" xfId="32" applyFont="1" applyFill="1" applyBorder="1" applyAlignment="1">
      <alignment horizontal="center" vertical="center" wrapText="1"/>
    </xf>
    <xf numFmtId="43" fontId="21" fillId="0" borderId="12" xfId="32" applyFont="1" applyFill="1" applyBorder="1" applyAlignment="1">
      <alignment horizontal="center"/>
    </xf>
    <xf numFmtId="43" fontId="22" fillId="33" borderId="12" xfId="32" applyFont="1" applyFill="1" applyBorder="1" applyAlignment="1">
      <alignment horizontal="center"/>
    </xf>
    <xf numFmtId="43" fontId="27" fillId="35" borderId="1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3" fontId="27" fillId="37" borderId="1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4" fontId="21" fillId="33" borderId="0" xfId="0" applyNumberFormat="1" applyFont="1" applyFill="1"/>
    <xf numFmtId="0" fontId="21" fillId="33" borderId="0" xfId="0" applyFont="1" applyFill="1"/>
    <xf numFmtId="0" fontId="21" fillId="33" borderId="0" xfId="0" applyFont="1" applyFill="1" applyAlignment="1">
      <alignment horizontal="center" vertical="center" wrapText="1"/>
    </xf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3" fillId="0" borderId="0" xfId="0" applyFont="1"/>
    <xf numFmtId="43" fontId="20" fillId="0" borderId="0" xfId="0" applyNumberFormat="1" applyFont="1"/>
    <xf numFmtId="4" fontId="21" fillId="0" borderId="0" xfId="0" applyNumberFormat="1" applyFont="1" applyAlignment="1">
      <alignment horizontal="center" vertical="top"/>
    </xf>
    <xf numFmtId="0" fontId="32" fillId="3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top"/>
    </xf>
    <xf numFmtId="4" fontId="37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7" fillId="33" borderId="1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21" fillId="33" borderId="20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0" fontId="52" fillId="33" borderId="20" xfId="0" applyFont="1" applyFill="1" applyBorder="1" applyAlignment="1">
      <alignment horizontal="left" vertical="center"/>
    </xf>
    <xf numFmtId="0" fontId="21" fillId="33" borderId="20" xfId="0" applyFont="1" applyFill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54" fillId="0" borderId="0" xfId="0" applyFont="1"/>
    <xf numFmtId="44" fontId="54" fillId="0" borderId="0" xfId="33" applyFont="1"/>
    <xf numFmtId="0" fontId="54" fillId="0" borderId="0" xfId="0" applyFont="1" applyAlignment="1">
      <alignment vertical="center"/>
    </xf>
    <xf numFmtId="44" fontId="54" fillId="0" borderId="13" xfId="33" applyFont="1" applyBorder="1"/>
    <xf numFmtId="0" fontId="54" fillId="0" borderId="13" xfId="0" applyFont="1" applyBorder="1"/>
    <xf numFmtId="0" fontId="54" fillId="0" borderId="32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166" fontId="55" fillId="0" borderId="29" xfId="33" applyNumberFormat="1" applyFont="1" applyBorder="1" applyAlignment="1">
      <alignment vertical="center"/>
    </xf>
    <xf numFmtId="166" fontId="55" fillId="0" borderId="34" xfId="33" applyNumberFormat="1" applyFont="1" applyBorder="1" applyAlignment="1">
      <alignment vertical="center"/>
    </xf>
    <xf numFmtId="166" fontId="47" fillId="0" borderId="35" xfId="33" applyNumberFormat="1" applyFont="1" applyBorder="1" applyAlignment="1">
      <alignment vertical="center"/>
    </xf>
    <xf numFmtId="166" fontId="47" fillId="0" borderId="36" xfId="33" applyNumberFormat="1" applyFont="1" applyBorder="1" applyAlignment="1">
      <alignment vertical="center"/>
    </xf>
    <xf numFmtId="166" fontId="55" fillId="0" borderId="36" xfId="33" applyNumberFormat="1" applyFont="1" applyBorder="1" applyAlignment="1">
      <alignment vertical="center"/>
    </xf>
    <xf numFmtId="44" fontId="54" fillId="0" borderId="0" xfId="33" applyFont="1" applyBorder="1"/>
    <xf numFmtId="166" fontId="55" fillId="0" borderId="37" xfId="33" applyNumberFormat="1" applyFont="1" applyBorder="1" applyAlignment="1">
      <alignment vertical="center"/>
    </xf>
    <xf numFmtId="166" fontId="55" fillId="0" borderId="38" xfId="33" applyNumberFormat="1" applyFont="1" applyBorder="1" applyAlignment="1">
      <alignment vertical="center"/>
    </xf>
    <xf numFmtId="166" fontId="47" fillId="0" borderId="39" xfId="33" applyNumberFormat="1" applyFont="1" applyBorder="1" applyAlignment="1">
      <alignment vertical="center"/>
    </xf>
    <xf numFmtId="166" fontId="55" fillId="0" borderId="40" xfId="33" applyNumberFormat="1" applyFont="1" applyBorder="1" applyAlignment="1">
      <alignment vertical="center"/>
    </xf>
    <xf numFmtId="166" fontId="55" fillId="0" borderId="40" xfId="33" applyNumberFormat="1" applyFont="1" applyBorder="1" applyAlignment="1">
      <alignment horizontal="right" vertical="center"/>
    </xf>
    <xf numFmtId="166" fontId="47" fillId="0" borderId="40" xfId="33" applyNumberFormat="1" applyFont="1" applyBorder="1" applyAlignment="1">
      <alignment vertical="center"/>
    </xf>
    <xf numFmtId="169" fontId="38" fillId="37" borderId="15" xfId="33" applyNumberFormat="1" applyFont="1" applyFill="1" applyBorder="1" applyAlignment="1">
      <alignment horizontal="center" vertical="center"/>
    </xf>
    <xf numFmtId="0" fontId="39" fillId="38" borderId="0" xfId="0" applyFont="1" applyFill="1" applyAlignment="1">
      <alignment horizontal="center" vertical="center" wrapText="1"/>
    </xf>
    <xf numFmtId="0" fontId="50" fillId="38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49" fillId="38" borderId="0" xfId="0" applyFont="1" applyFill="1" applyAlignment="1">
      <alignment horizontal="center" vertical="center" wrapText="1"/>
    </xf>
    <xf numFmtId="0" fontId="49" fillId="38" borderId="45" xfId="0" applyFont="1" applyFill="1" applyBorder="1" applyAlignment="1">
      <alignment horizontal="center" vertical="center" wrapText="1"/>
    </xf>
    <xf numFmtId="4" fontId="49" fillId="38" borderId="45" xfId="0" applyNumberFormat="1" applyFont="1" applyFill="1" applyBorder="1" applyAlignment="1">
      <alignment horizontal="center" vertical="center" wrapText="1"/>
    </xf>
    <xf numFmtId="4" fontId="49" fillId="38" borderId="45" xfId="32" applyNumberFormat="1" applyFont="1" applyFill="1" applyBorder="1" applyAlignment="1">
      <alignment horizontal="center" vertical="center" wrapText="1"/>
    </xf>
    <xf numFmtId="43" fontId="49" fillId="38" borderId="45" xfId="32" applyFont="1" applyFill="1" applyBorder="1" applyAlignment="1">
      <alignment horizontal="center" vertical="center" wrapText="1"/>
    </xf>
    <xf numFmtId="166" fontId="19" fillId="39" borderId="18" xfId="33" applyNumberFormat="1" applyFont="1" applyFill="1" applyBorder="1" applyAlignment="1">
      <alignment horizontal="center" vertical="top"/>
    </xf>
    <xf numFmtId="166" fontId="19" fillId="39" borderId="18" xfId="33" applyNumberFormat="1" applyFont="1" applyFill="1" applyBorder="1" applyAlignment="1">
      <alignment vertical="top"/>
    </xf>
    <xf numFmtId="0" fontId="19" fillId="39" borderId="19" xfId="0" applyFont="1" applyFill="1" applyBorder="1" applyAlignment="1">
      <alignment horizontal="center" vertical="top"/>
    </xf>
    <xf numFmtId="0" fontId="19" fillId="39" borderId="19" xfId="0" applyFont="1" applyFill="1" applyBorder="1" applyAlignment="1">
      <alignment vertical="top"/>
    </xf>
    <xf numFmtId="0" fontId="19" fillId="39" borderId="31" xfId="0" applyFont="1" applyFill="1" applyBorder="1" applyAlignment="1">
      <alignment horizontal="left" vertical="top"/>
    </xf>
    <xf numFmtId="0" fontId="19" fillId="39" borderId="21" xfId="0" applyFont="1" applyFill="1" applyBorder="1" applyAlignment="1">
      <alignment vertical="top"/>
    </xf>
    <xf numFmtId="4" fontId="19" fillId="39" borderId="21" xfId="0" applyNumberFormat="1" applyFont="1" applyFill="1" applyBorder="1"/>
    <xf numFmtId="166" fontId="19" fillId="39" borderId="0" xfId="33" applyNumberFormat="1" applyFont="1" applyFill="1" applyBorder="1" applyAlignment="1">
      <alignment horizontal="center" vertical="top"/>
    </xf>
    <xf numFmtId="0" fontId="19" fillId="39" borderId="0" xfId="0" applyFont="1" applyFill="1" applyAlignment="1">
      <alignment horizontal="center" vertical="top"/>
    </xf>
    <xf numFmtId="0" fontId="32" fillId="0" borderId="19" xfId="0" applyFont="1" applyBorder="1" applyAlignment="1">
      <alignment horizontal="left" vertical="center"/>
    </xf>
    <xf numFmtId="37" fontId="46" fillId="37" borderId="19" xfId="33" applyNumberFormat="1" applyFont="1" applyFill="1" applyBorder="1" applyAlignment="1">
      <alignment horizontal="center" vertical="top"/>
    </xf>
    <xf numFmtId="0" fontId="54" fillId="0" borderId="0" xfId="0" applyFont="1" applyAlignment="1">
      <alignment vertical="top"/>
    </xf>
    <xf numFmtId="0" fontId="43" fillId="0" borderId="33" xfId="0" applyFont="1" applyBorder="1" applyAlignment="1">
      <alignment vertical="center" wrapText="1"/>
    </xf>
    <xf numFmtId="0" fontId="43" fillId="0" borderId="16" xfId="0" applyFont="1" applyBorder="1" applyAlignment="1">
      <alignment vertical="center"/>
    </xf>
    <xf numFmtId="166" fontId="47" fillId="0" borderId="26" xfId="33" applyNumberFormat="1" applyFont="1" applyBorder="1" applyAlignment="1">
      <alignment vertical="center"/>
    </xf>
    <xf numFmtId="166" fontId="47" fillId="0" borderId="46" xfId="33" applyNumberFormat="1" applyFont="1" applyBorder="1" applyAlignment="1">
      <alignment vertical="center"/>
    </xf>
    <xf numFmtId="44" fontId="43" fillId="37" borderId="20" xfId="33" applyFont="1" applyFill="1" applyBorder="1" applyAlignment="1">
      <alignment horizontal="center" vertical="center" wrapText="1"/>
    </xf>
    <xf numFmtId="166" fontId="55" fillId="0" borderId="37" xfId="33" applyNumberFormat="1" applyFont="1" applyBorder="1" applyAlignment="1">
      <alignment horizontal="right" vertical="center"/>
    </xf>
    <xf numFmtId="166" fontId="43" fillId="39" borderId="30" xfId="33" applyNumberFormat="1" applyFont="1" applyFill="1" applyBorder="1" applyAlignment="1">
      <alignment vertical="center"/>
    </xf>
    <xf numFmtId="166" fontId="43" fillId="39" borderId="44" xfId="33" applyNumberFormat="1" applyFont="1" applyFill="1" applyBorder="1" applyAlignment="1">
      <alignment vertical="center"/>
    </xf>
    <xf numFmtId="166" fontId="43" fillId="39" borderId="25" xfId="33" applyNumberFormat="1" applyFont="1" applyFill="1" applyBorder="1" applyAlignment="1">
      <alignment vertical="center"/>
    </xf>
    <xf numFmtId="0" fontId="19" fillId="39" borderId="0" xfId="0" applyFont="1" applyFill="1" applyAlignment="1">
      <alignment vertical="top"/>
    </xf>
    <xf numFmtId="0" fontId="19" fillId="39" borderId="24" xfId="0" applyFont="1" applyFill="1" applyBorder="1" applyAlignment="1">
      <alignment vertical="top"/>
    </xf>
    <xf numFmtId="4" fontId="19" fillId="39" borderId="24" xfId="0" applyNumberFormat="1" applyFont="1" applyFill="1" applyBorder="1"/>
    <xf numFmtId="43" fontId="32" fillId="0" borderId="27" xfId="32" applyFont="1" applyFill="1" applyBorder="1" applyAlignment="1">
      <alignment horizontal="left" vertical="center" wrapText="1"/>
    </xf>
    <xf numFmtId="43" fontId="32" fillId="33" borderId="28" xfId="32" applyFont="1" applyFill="1" applyBorder="1" applyAlignment="1">
      <alignment horizontal="left" vertical="center"/>
    </xf>
    <xf numFmtId="43" fontId="32" fillId="33" borderId="29" xfId="32" applyFont="1" applyFill="1" applyBorder="1" applyAlignment="1">
      <alignment horizontal="left" vertical="center"/>
    </xf>
    <xf numFmtId="166" fontId="47" fillId="39" borderId="30" xfId="33" applyNumberFormat="1" applyFont="1" applyFill="1" applyBorder="1" applyAlignment="1">
      <alignment horizontal="center" vertical="center"/>
    </xf>
    <xf numFmtId="0" fontId="54" fillId="39" borderId="29" xfId="0" applyFont="1" applyFill="1" applyBorder="1" applyAlignment="1">
      <alignment horizontal="center" vertical="top"/>
    </xf>
    <xf numFmtId="0" fontId="36" fillId="0" borderId="0" xfId="0" applyFont="1" applyAlignment="1">
      <alignment horizontal="left" vertical="top"/>
    </xf>
    <xf numFmtId="0" fontId="30" fillId="33" borderId="0" xfId="0" applyFont="1" applyFill="1" applyAlignment="1">
      <alignment horizontal="left" vertical="top"/>
    </xf>
    <xf numFmtId="0" fontId="32" fillId="33" borderId="0" xfId="0" applyFont="1" applyFill="1" applyAlignment="1">
      <alignment horizontal="left" vertical="top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166" fontId="27" fillId="0" borderId="15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166" fontId="27" fillId="37" borderId="16" xfId="33" applyNumberFormat="1" applyFont="1" applyFill="1" applyBorder="1" applyAlignment="1">
      <alignment vertical="center"/>
    </xf>
    <xf numFmtId="166" fontId="43" fillId="37" borderId="16" xfId="33" applyNumberFormat="1" applyFont="1" applyFill="1" applyBorder="1" applyAlignment="1">
      <alignment vertical="center"/>
    </xf>
    <xf numFmtId="4" fontId="58" fillId="38" borderId="0" xfId="32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44" fontId="21" fillId="0" borderId="0" xfId="33" applyFont="1" applyFill="1" applyBorder="1" applyAlignment="1">
      <alignment vertical="top"/>
    </xf>
    <xf numFmtId="0" fontId="41" fillId="0" borderId="0" xfId="47" applyAlignment="1">
      <alignment horizontal="left" indent="2"/>
    </xf>
    <xf numFmtId="0" fontId="59" fillId="40" borderId="0" xfId="0" applyFont="1" applyFill="1" applyAlignment="1">
      <alignment horizontal="center" vertical="center"/>
    </xf>
    <xf numFmtId="0" fontId="0" fillId="41" borderId="0" xfId="0" applyFill="1"/>
    <xf numFmtId="0" fontId="57" fillId="0" borderId="0" xfId="19" applyFont="1" applyFill="1"/>
    <xf numFmtId="44" fontId="54" fillId="0" borderId="15" xfId="33" applyFont="1" applyFill="1" applyBorder="1"/>
    <xf numFmtId="44" fontId="53" fillId="0" borderId="0" xfId="33" applyFont="1" applyFill="1" applyBorder="1" applyAlignment="1">
      <alignment horizontal="center" vertical="center"/>
    </xf>
    <xf numFmtId="44" fontId="54" fillId="0" borderId="19" xfId="33" applyFont="1" applyFill="1" applyBorder="1" applyAlignment="1">
      <alignment vertical="top"/>
    </xf>
    <xf numFmtId="0" fontId="47" fillId="0" borderId="1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top"/>
    </xf>
    <xf numFmtId="166" fontId="55" fillId="0" borderId="47" xfId="33" applyNumberFormat="1" applyFont="1" applyBorder="1" applyAlignment="1">
      <alignment vertical="center"/>
    </xf>
    <xf numFmtId="166" fontId="55" fillId="0" borderId="48" xfId="33" applyNumberFormat="1" applyFont="1" applyBorder="1" applyAlignment="1">
      <alignment vertical="center"/>
    </xf>
    <xf numFmtId="166" fontId="47" fillId="0" borderId="49" xfId="33" applyNumberFormat="1" applyFont="1" applyBorder="1" applyAlignment="1">
      <alignment vertical="center"/>
    </xf>
    <xf numFmtId="166" fontId="55" fillId="0" borderId="51" xfId="33" applyNumberFormat="1" applyFont="1" applyBorder="1" applyAlignment="1">
      <alignment vertical="center"/>
    </xf>
    <xf numFmtId="166" fontId="47" fillId="0" borderId="51" xfId="33" applyNumberFormat="1" applyFont="1" applyBorder="1" applyAlignment="1">
      <alignment vertical="center"/>
    </xf>
    <xf numFmtId="166" fontId="47" fillId="0" borderId="52" xfId="33" applyNumberFormat="1" applyFont="1" applyBorder="1" applyAlignment="1">
      <alignment vertical="center"/>
    </xf>
    <xf numFmtId="166" fontId="57" fillId="0" borderId="0" xfId="19" applyNumberFormat="1" applyFont="1" applyFill="1" applyBorder="1" applyAlignment="1">
      <alignment vertical="center"/>
    </xf>
    <xf numFmtId="166" fontId="60" fillId="42" borderId="29" xfId="19" applyNumberFormat="1" applyFont="1" applyFill="1" applyBorder="1" applyAlignment="1">
      <alignment vertical="center"/>
    </xf>
    <xf numFmtId="166" fontId="60" fillId="42" borderId="37" xfId="19" applyNumberFormat="1" applyFont="1" applyFill="1" applyBorder="1" applyAlignment="1">
      <alignment vertical="center"/>
    </xf>
    <xf numFmtId="166" fontId="60" fillId="42" borderId="50" xfId="19" applyNumberFormat="1" applyFont="1" applyFill="1" applyBorder="1" applyAlignment="1">
      <alignment vertical="center"/>
    </xf>
    <xf numFmtId="166" fontId="55" fillId="0" borderId="50" xfId="33" applyNumberFormat="1" applyFont="1" applyBorder="1" applyAlignment="1">
      <alignment horizontal="right" vertical="center"/>
    </xf>
    <xf numFmtId="166" fontId="55" fillId="0" borderId="51" xfId="33" applyNumberFormat="1" applyFont="1" applyBorder="1" applyAlignment="1">
      <alignment horizontal="right" vertical="center"/>
    </xf>
    <xf numFmtId="0" fontId="54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/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Continuous"/>
    </xf>
    <xf numFmtId="0" fontId="66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" vertical="center" wrapText="1"/>
    </xf>
    <xf numFmtId="0" fontId="21" fillId="43" borderId="19" xfId="0" applyFont="1" applyFill="1" applyBorder="1" applyAlignment="1">
      <alignment vertical="top"/>
    </xf>
    <xf numFmtId="0" fontId="22" fillId="43" borderId="19" xfId="0" applyFont="1" applyFill="1" applyBorder="1" applyAlignment="1">
      <alignment horizontal="left" vertical="top"/>
    </xf>
    <xf numFmtId="0" fontId="63" fillId="43" borderId="19" xfId="0" applyFont="1" applyFill="1" applyBorder="1" applyAlignment="1">
      <alignment vertical="center"/>
    </xf>
    <xf numFmtId="0" fontId="22" fillId="43" borderId="19" xfId="0" applyFont="1" applyFill="1" applyBorder="1" applyAlignment="1">
      <alignment horizontal="center" vertical="top"/>
    </xf>
    <xf numFmtId="0" fontId="22" fillId="43" borderId="19" xfId="0" applyFont="1" applyFill="1" applyBorder="1" applyAlignment="1">
      <alignment vertical="top"/>
    </xf>
    <xf numFmtId="43" fontId="21" fillId="43" borderId="19" xfId="0" applyNumberFormat="1" applyFont="1" applyFill="1" applyBorder="1" applyAlignment="1">
      <alignment horizontal="center" vertical="center" wrapText="1"/>
    </xf>
    <xf numFmtId="4" fontId="21" fillId="43" borderId="19" xfId="32" applyNumberFormat="1" applyFont="1" applyFill="1" applyBorder="1" applyAlignment="1">
      <alignment horizontal="center" vertical="center" wrapText="1"/>
    </xf>
    <xf numFmtId="166" fontId="24" fillId="43" borderId="19" xfId="33" applyNumberFormat="1" applyFont="1" applyFill="1" applyBorder="1" applyAlignment="1">
      <alignment horizontal="center" vertical="center"/>
    </xf>
    <xf numFmtId="166" fontId="24" fillId="43" borderId="19" xfId="33" applyNumberFormat="1" applyFont="1" applyFill="1" applyBorder="1" applyAlignment="1">
      <alignment horizontal="center" vertical="center" wrapText="1"/>
    </xf>
    <xf numFmtId="166" fontId="40" fillId="43" borderId="19" xfId="33" applyNumberFormat="1" applyFont="1" applyFill="1" applyBorder="1" applyAlignment="1">
      <alignment horizontal="center" vertical="center"/>
    </xf>
    <xf numFmtId="166" fontId="40" fillId="43" borderId="19" xfId="33" applyNumberFormat="1" applyFont="1" applyFill="1" applyBorder="1" applyAlignment="1">
      <alignment horizontal="center" vertical="center" wrapText="1"/>
    </xf>
    <xf numFmtId="0" fontId="21" fillId="43" borderId="19" xfId="0" applyFont="1" applyFill="1" applyBorder="1" applyAlignment="1">
      <alignment horizontal="center" vertical="center" wrapText="1"/>
    </xf>
    <xf numFmtId="167" fontId="27" fillId="35" borderId="12" xfId="0" applyNumberFormat="1" applyFont="1" applyFill="1" applyBorder="1"/>
    <xf numFmtId="167" fontId="27" fillId="35" borderId="12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right" vertical="center"/>
    </xf>
    <xf numFmtId="0" fontId="27" fillId="35" borderId="12" xfId="0" applyFont="1" applyFill="1" applyBorder="1" applyAlignment="1">
      <alignment vertical="center"/>
    </xf>
    <xf numFmtId="0" fontId="20" fillId="35" borderId="12" xfId="0" applyFont="1" applyFill="1" applyBorder="1" applyAlignment="1">
      <alignment horizontal="center" vertical="center"/>
    </xf>
    <xf numFmtId="166" fontId="27" fillId="35" borderId="12" xfId="33" applyNumberFormat="1" applyFont="1" applyFill="1" applyBorder="1" applyAlignment="1">
      <alignment vertical="center"/>
    </xf>
    <xf numFmtId="166" fontId="27" fillId="35" borderId="12" xfId="33" applyNumberFormat="1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right" vertical="center"/>
    </xf>
    <xf numFmtId="166" fontId="27" fillId="43" borderId="19" xfId="33" applyNumberFormat="1" applyFont="1" applyFill="1" applyBorder="1" applyAlignment="1">
      <alignment horizontal="center" vertical="center"/>
    </xf>
    <xf numFmtId="166" fontId="27" fillId="43" borderId="19" xfId="33" applyNumberFormat="1" applyFont="1" applyFill="1" applyBorder="1" applyAlignment="1">
      <alignment horizontal="center" vertical="center" wrapText="1"/>
    </xf>
    <xf numFmtId="166" fontId="29" fillId="43" borderId="19" xfId="33" applyNumberFormat="1" applyFont="1" applyFill="1" applyBorder="1" applyAlignment="1">
      <alignment horizontal="center" vertical="center"/>
    </xf>
    <xf numFmtId="166" fontId="29" fillId="43" borderId="19" xfId="33" applyNumberFormat="1" applyFont="1" applyFill="1" applyBorder="1" applyAlignment="1">
      <alignment horizontal="center" vertical="center" wrapText="1"/>
    </xf>
    <xf numFmtId="0" fontId="48" fillId="38" borderId="45" xfId="0" applyFont="1" applyFill="1" applyBorder="1" applyAlignment="1">
      <alignment horizontal="center" vertical="center" wrapText="1"/>
    </xf>
    <xf numFmtId="4" fontId="58" fillId="38" borderId="0" xfId="0" applyNumberFormat="1" applyFont="1" applyFill="1" applyAlignment="1">
      <alignment horizontal="center" vertical="center" wrapText="1"/>
    </xf>
    <xf numFmtId="4" fontId="49" fillId="38" borderId="17" xfId="0" applyNumberFormat="1" applyFont="1" applyFill="1" applyBorder="1" applyAlignment="1">
      <alignment horizontal="center" vertical="center" wrapText="1"/>
    </xf>
    <xf numFmtId="4" fontId="49" fillId="38" borderId="17" xfId="32" applyNumberFormat="1" applyFont="1" applyFill="1" applyBorder="1" applyAlignment="1">
      <alignment horizontal="center" vertical="center" wrapText="1"/>
    </xf>
    <xf numFmtId="43" fontId="49" fillId="38" borderId="53" xfId="32" applyFont="1" applyFill="1" applyBorder="1" applyAlignment="1">
      <alignment horizontal="center" vertical="center" wrapText="1"/>
    </xf>
    <xf numFmtId="0" fontId="49" fillId="38" borderId="53" xfId="0" applyFont="1" applyFill="1" applyBorder="1" applyAlignment="1">
      <alignment horizontal="center" vertical="center" wrapText="1"/>
    </xf>
    <xf numFmtId="0" fontId="48" fillId="38" borderId="53" xfId="0" applyFont="1" applyFill="1" applyBorder="1" applyAlignment="1">
      <alignment horizontal="center" vertical="center" wrapText="1"/>
    </xf>
    <xf numFmtId="0" fontId="49" fillId="38" borderId="17" xfId="0" applyFont="1" applyFill="1" applyBorder="1" applyAlignment="1">
      <alignment horizontal="center" vertical="center" wrapText="1"/>
    </xf>
    <xf numFmtId="0" fontId="49" fillId="38" borderId="12" xfId="0" applyFont="1" applyFill="1" applyBorder="1" applyAlignment="1">
      <alignment horizontal="center" vertical="center" wrapText="1"/>
    </xf>
    <xf numFmtId="166" fontId="43" fillId="0" borderId="27" xfId="33" applyNumberFormat="1" applyFont="1" applyFill="1" applyBorder="1" applyAlignment="1">
      <alignment vertical="center"/>
    </xf>
    <xf numFmtId="166" fontId="43" fillId="0" borderId="41" xfId="33" applyNumberFormat="1" applyFont="1" applyFill="1" applyBorder="1" applyAlignment="1">
      <alignment vertical="center"/>
    </xf>
    <xf numFmtId="166" fontId="43" fillId="0" borderId="22" xfId="33" applyNumberFormat="1" applyFont="1" applyFill="1" applyBorder="1" applyAlignment="1">
      <alignment vertical="center"/>
    </xf>
    <xf numFmtId="166" fontId="43" fillId="0" borderId="28" xfId="33" applyNumberFormat="1" applyFont="1" applyBorder="1" applyAlignment="1">
      <alignment vertical="center"/>
    </xf>
    <xf numFmtId="166" fontId="43" fillId="0" borderId="23" xfId="33" applyNumberFormat="1" applyFont="1" applyBorder="1" applyAlignment="1">
      <alignment vertical="center"/>
    </xf>
    <xf numFmtId="166" fontId="27" fillId="0" borderId="23" xfId="33" applyNumberFormat="1" applyFont="1" applyBorder="1" applyAlignment="1">
      <alignment horizontal="center" vertical="center"/>
    </xf>
    <xf numFmtId="166" fontId="19" fillId="33" borderId="0" xfId="33" applyNumberFormat="1" applyFont="1" applyFill="1" applyBorder="1" applyAlignment="1">
      <alignment vertical="center"/>
    </xf>
    <xf numFmtId="166" fontId="43" fillId="0" borderId="43" xfId="33" applyNumberFormat="1" applyFont="1" applyBorder="1" applyAlignment="1">
      <alignment vertical="center"/>
    </xf>
    <xf numFmtId="166" fontId="43" fillId="0" borderId="24" xfId="33" applyNumberFormat="1" applyFont="1" applyBorder="1" applyAlignment="1">
      <alignment vertical="center"/>
    </xf>
    <xf numFmtId="166" fontId="27" fillId="0" borderId="24" xfId="33" applyNumberFormat="1" applyFont="1" applyBorder="1" applyAlignment="1">
      <alignment horizontal="center" vertical="center"/>
    </xf>
    <xf numFmtId="166" fontId="43" fillId="0" borderId="31" xfId="33" applyNumberFormat="1" applyFont="1" applyBorder="1" applyAlignment="1">
      <alignment vertical="center"/>
    </xf>
    <xf numFmtId="166" fontId="19" fillId="0" borderId="0" xfId="33" applyNumberFormat="1" applyFont="1" applyBorder="1" applyAlignment="1">
      <alignment vertical="center"/>
    </xf>
    <xf numFmtId="166" fontId="56" fillId="39" borderId="0" xfId="19" applyNumberFormat="1" applyFont="1" applyFill="1" applyBorder="1" applyAlignment="1">
      <alignment vertical="center"/>
    </xf>
    <xf numFmtId="166" fontId="56" fillId="39" borderId="32" xfId="19" applyNumberFormat="1" applyFont="1" applyFill="1" applyBorder="1" applyAlignment="1">
      <alignment vertical="center"/>
    </xf>
    <xf numFmtId="166" fontId="56" fillId="39" borderId="33" xfId="19" applyNumberFormat="1" applyFont="1" applyFill="1" applyBorder="1" applyAlignment="1">
      <alignment vertical="center"/>
    </xf>
    <xf numFmtId="166" fontId="56" fillId="39" borderId="12" xfId="19" applyNumberFormat="1" applyFont="1" applyFill="1" applyBorder="1" applyAlignment="1">
      <alignment vertical="center"/>
    </xf>
    <xf numFmtId="166" fontId="56" fillId="39" borderId="16" xfId="19" applyNumberFormat="1" applyFont="1" applyFill="1" applyBorder="1" applyAlignment="1">
      <alignment vertical="center"/>
    </xf>
    <xf numFmtId="0" fontId="21" fillId="43" borderId="19" xfId="0" applyFont="1" applyFill="1" applyBorder="1" applyAlignment="1">
      <alignment horizontal="center" vertical="top"/>
    </xf>
    <xf numFmtId="0" fontId="29" fillId="43" borderId="19" xfId="0" applyFont="1" applyFill="1" applyBorder="1" applyAlignment="1">
      <alignment vertical="center"/>
    </xf>
    <xf numFmtId="170" fontId="46" fillId="0" borderId="0" xfId="0" applyNumberFormat="1" applyFont="1" applyAlignment="1">
      <alignment vertical="center" textRotation="90"/>
    </xf>
    <xf numFmtId="0" fontId="47" fillId="0" borderId="20" xfId="0" applyFont="1" applyBorder="1" applyAlignment="1">
      <alignment horizontal="center" vertical="center"/>
    </xf>
    <xf numFmtId="44" fontId="54" fillId="0" borderId="0" xfId="33" applyFont="1" applyAlignment="1">
      <alignment horizontal="centerContinuous"/>
    </xf>
    <xf numFmtId="44" fontId="54" fillId="0" borderId="0" xfId="33" applyFont="1" applyBorder="1" applyAlignment="1">
      <alignment horizontal="centerContinuous"/>
    </xf>
    <xf numFmtId="0" fontId="47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53" fillId="0" borderId="0" xfId="0" applyFont="1" applyAlignment="1">
      <alignment horizontal="centerContinuous"/>
    </xf>
    <xf numFmtId="44" fontId="54" fillId="0" borderId="0" xfId="33" applyFont="1" applyAlignment="1">
      <alignment horizontal="centerContinuous" vertical="center"/>
    </xf>
    <xf numFmtId="44" fontId="54" fillId="0" borderId="0" xfId="33" applyFont="1" applyBorder="1" applyAlignment="1">
      <alignment horizontal="centerContinuous" vertical="center"/>
    </xf>
    <xf numFmtId="0" fontId="47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53" fillId="0" borderId="0" xfId="0" applyFont="1" applyAlignment="1">
      <alignment horizontal="centerContinuous" vertical="center"/>
    </xf>
    <xf numFmtId="44" fontId="68" fillId="0" borderId="0" xfId="33" applyFont="1" applyAlignment="1">
      <alignment horizontal="centerContinuous" vertical="center"/>
    </xf>
    <xf numFmtId="44" fontId="68" fillId="0" borderId="0" xfId="33" applyFont="1" applyBorder="1" applyAlignment="1">
      <alignment horizontal="centerContinuous" vertical="center"/>
    </xf>
    <xf numFmtId="0" fontId="36" fillId="43" borderId="19" xfId="0" applyFont="1" applyFill="1" applyBorder="1" applyAlignment="1">
      <alignment vertical="center"/>
    </xf>
    <xf numFmtId="0" fontId="63" fillId="0" borderId="0" xfId="0" applyFont="1" applyAlignment="1">
      <alignment horizontal="left" vertical="top"/>
    </xf>
    <xf numFmtId="0" fontId="5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66" fontId="55" fillId="0" borderId="50" xfId="33" applyNumberFormat="1" applyFont="1" applyBorder="1" applyAlignment="1">
      <alignment vertical="center"/>
    </xf>
    <xf numFmtId="0" fontId="38" fillId="0" borderId="0" xfId="0" applyFont="1" applyAlignment="1">
      <alignment horizontal="centerContinuous"/>
    </xf>
    <xf numFmtId="0" fontId="46" fillId="0" borderId="0" xfId="0" applyFont="1" applyAlignment="1">
      <alignment horizontal="centerContinuous"/>
    </xf>
    <xf numFmtId="165" fontId="19" fillId="0" borderId="0" xfId="0" applyNumberFormat="1" applyFont="1"/>
    <xf numFmtId="0" fontId="49" fillId="38" borderId="15" xfId="0" applyFont="1" applyFill="1" applyBorder="1" applyAlignment="1">
      <alignment horizontal="center" vertical="center" wrapText="1"/>
    </xf>
    <xf numFmtId="0" fontId="48" fillId="38" borderId="54" xfId="0" applyFont="1" applyFill="1" applyBorder="1" applyAlignment="1">
      <alignment horizontal="center" vertical="center" wrapText="1"/>
    </xf>
    <xf numFmtId="43" fontId="21" fillId="0" borderId="0" xfId="32" applyFont="1" applyBorder="1" applyAlignment="1">
      <alignment horizontal="right"/>
    </xf>
    <xf numFmtId="43" fontId="22" fillId="0" borderId="0" xfId="32" applyFont="1" applyBorder="1" applyAlignment="1">
      <alignment horizontal="right"/>
    </xf>
    <xf numFmtId="0" fontId="22" fillId="0" borderId="0" xfId="0" applyFont="1"/>
    <xf numFmtId="0" fontId="21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166" fontId="27" fillId="0" borderId="12" xfId="0" applyNumberFormat="1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1" fillId="0" borderId="13" xfId="0" applyFont="1" applyBorder="1" applyAlignment="1">
      <alignment vertical="top"/>
    </xf>
    <xf numFmtId="0" fontId="29" fillId="0" borderId="12" xfId="0" applyFont="1" applyBorder="1" applyAlignment="1">
      <alignment horizontal="center" vertical="center"/>
    </xf>
    <xf numFmtId="0" fontId="45" fillId="37" borderId="16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vertical="center"/>
    </xf>
    <xf numFmtId="0" fontId="21" fillId="0" borderId="55" xfId="0" applyFont="1" applyBorder="1" applyAlignment="1">
      <alignment vertical="center"/>
    </xf>
    <xf numFmtId="1" fontId="21" fillId="0" borderId="55" xfId="0" applyNumberFormat="1" applyFont="1" applyBorder="1" applyAlignment="1">
      <alignment horizontal="center" vertical="center" wrapText="1"/>
    </xf>
    <xf numFmtId="4" fontId="21" fillId="0" borderId="55" xfId="32" applyNumberFormat="1" applyFont="1" applyFill="1" applyBorder="1" applyAlignment="1">
      <alignment horizontal="center" vertical="center" wrapText="1"/>
    </xf>
    <xf numFmtId="43" fontId="21" fillId="0" borderId="55" xfId="32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/>
    </xf>
    <xf numFmtId="4" fontId="21" fillId="0" borderId="55" xfId="33" applyNumberFormat="1" applyFont="1" applyFill="1" applyBorder="1" applyAlignment="1">
      <alignment horizontal="center" vertical="center"/>
    </xf>
    <xf numFmtId="166" fontId="22" fillId="0" borderId="55" xfId="33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166" fontId="27" fillId="37" borderId="16" xfId="33" applyNumberFormat="1" applyFont="1" applyFill="1" applyBorder="1" applyAlignment="1">
      <alignment horizontal="center" vertical="center"/>
    </xf>
    <xf numFmtId="0" fontId="47" fillId="37" borderId="16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horizontal="left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0" fontId="21" fillId="43" borderId="12" xfId="0" applyFont="1" applyFill="1" applyBorder="1" applyAlignment="1">
      <alignment horizontal="center" vertical="top"/>
    </xf>
    <xf numFmtId="0" fontId="21" fillId="43" borderId="12" xfId="0" applyFont="1" applyFill="1" applyBorder="1" applyAlignment="1">
      <alignment vertical="top"/>
    </xf>
    <xf numFmtId="0" fontId="22" fillId="43" borderId="12" xfId="0" applyFont="1" applyFill="1" applyBorder="1" applyAlignment="1">
      <alignment horizontal="left" vertical="top"/>
    </xf>
    <xf numFmtId="0" fontId="63" fillId="43" borderId="12" xfId="0" applyFont="1" applyFill="1" applyBorder="1" applyAlignment="1">
      <alignment vertical="center"/>
    </xf>
    <xf numFmtId="0" fontId="22" fillId="43" borderId="12" xfId="0" applyFont="1" applyFill="1" applyBorder="1" applyAlignment="1">
      <alignment horizontal="center" vertical="top"/>
    </xf>
    <xf numFmtId="0" fontId="22" fillId="43" borderId="12" xfId="0" applyFont="1" applyFill="1" applyBorder="1" applyAlignment="1">
      <alignment vertical="top"/>
    </xf>
    <xf numFmtId="43" fontId="21" fillId="43" borderId="12" xfId="0" applyNumberFormat="1" applyFont="1" applyFill="1" applyBorder="1" applyAlignment="1">
      <alignment horizontal="center" vertical="center" wrapText="1"/>
    </xf>
    <xf numFmtId="4" fontId="21" fillId="43" borderId="13" xfId="32" applyNumberFormat="1" applyFont="1" applyFill="1" applyBorder="1" applyAlignment="1">
      <alignment horizontal="center" vertical="center" wrapText="1"/>
    </xf>
    <xf numFmtId="166" fontId="27" fillId="43" borderId="13" xfId="33" applyNumberFormat="1" applyFont="1" applyFill="1" applyBorder="1" applyAlignment="1">
      <alignment horizontal="center" vertical="center"/>
    </xf>
    <xf numFmtId="166" fontId="27" fillId="43" borderId="13" xfId="33" applyNumberFormat="1" applyFont="1" applyFill="1" applyBorder="1" applyAlignment="1">
      <alignment horizontal="center" vertical="center" wrapText="1"/>
    </xf>
    <xf numFmtId="166" fontId="29" fillId="43" borderId="13" xfId="33" applyNumberFormat="1" applyFont="1" applyFill="1" applyBorder="1" applyAlignment="1">
      <alignment horizontal="center" vertical="center"/>
    </xf>
    <xf numFmtId="166" fontId="29" fillId="43" borderId="13" xfId="33" applyNumberFormat="1" applyFont="1" applyFill="1" applyBorder="1" applyAlignment="1">
      <alignment horizontal="center" vertical="center" wrapText="1"/>
    </xf>
    <xf numFmtId="0" fontId="21" fillId="43" borderId="13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top"/>
    </xf>
    <xf numFmtId="0" fontId="21" fillId="0" borderId="20" xfId="0" applyFont="1" applyBorder="1" applyAlignment="1">
      <alignment vertical="top"/>
    </xf>
    <xf numFmtId="0" fontId="22" fillId="0" borderId="20" xfId="0" applyFont="1" applyBorder="1" applyAlignment="1">
      <alignment horizontal="left" vertical="top"/>
    </xf>
    <xf numFmtId="43" fontId="21" fillId="0" borderId="20" xfId="32" applyFont="1" applyFill="1" applyBorder="1" applyAlignment="1">
      <alignment horizontal="right"/>
    </xf>
    <xf numFmtId="0" fontId="21" fillId="0" borderId="20" xfId="0" applyFont="1" applyBorder="1"/>
    <xf numFmtId="0" fontId="22" fillId="0" borderId="20" xfId="0" applyFont="1" applyBorder="1" applyAlignment="1">
      <alignment horizontal="center" vertical="top" wrapText="1"/>
    </xf>
    <xf numFmtId="0" fontId="22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left" vertical="top"/>
    </xf>
    <xf numFmtId="43" fontId="21" fillId="0" borderId="20" xfId="32" applyFont="1" applyFill="1" applyBorder="1" applyAlignment="1">
      <alignment horizontal="right" vertical="top"/>
    </xf>
    <xf numFmtId="43" fontId="22" fillId="0" borderId="20" xfId="32" applyFont="1" applyFill="1" applyBorder="1" applyAlignment="1">
      <alignment horizontal="right" vertical="top" wrapText="1"/>
    </xf>
    <xf numFmtId="0" fontId="23" fillId="0" borderId="20" xfId="0" applyFont="1" applyBorder="1" applyAlignment="1">
      <alignment vertical="top" wrapText="1"/>
    </xf>
    <xf numFmtId="43" fontId="21" fillId="0" borderId="20" xfId="32" applyFont="1" applyFill="1" applyBorder="1" applyAlignment="1">
      <alignment horizontal="right" vertical="top" wrapText="1"/>
    </xf>
    <xf numFmtId="0" fontId="22" fillId="0" borderId="20" xfId="0" applyFont="1" applyBorder="1" applyAlignment="1">
      <alignment vertical="top"/>
    </xf>
    <xf numFmtId="0" fontId="22" fillId="0" borderId="20" xfId="0" applyFont="1" applyBorder="1" applyAlignment="1">
      <alignment horizontal="center" vertical="top"/>
    </xf>
    <xf numFmtId="43" fontId="22" fillId="0" borderId="20" xfId="32" applyFont="1" applyFill="1" applyBorder="1" applyAlignment="1">
      <alignment horizontal="right"/>
    </xf>
    <xf numFmtId="0" fontId="23" fillId="0" borderId="20" xfId="0" applyFont="1" applyBorder="1"/>
    <xf numFmtId="0" fontId="22" fillId="0" borderId="20" xfId="0" applyFont="1" applyBorder="1"/>
    <xf numFmtId="44" fontId="21" fillId="0" borderId="20" xfId="33" applyFont="1" applyFill="1" applyBorder="1"/>
    <xf numFmtId="0" fontId="21" fillId="0" borderId="18" xfId="0" applyFont="1" applyBorder="1" applyAlignment="1">
      <alignment horizontal="center" vertical="top"/>
    </xf>
    <xf numFmtId="0" fontId="21" fillId="0" borderId="18" xfId="0" applyFont="1" applyBorder="1" applyAlignment="1">
      <alignment vertical="top"/>
    </xf>
    <xf numFmtId="0" fontId="22" fillId="0" borderId="18" xfId="0" applyFont="1" applyBorder="1" applyAlignment="1">
      <alignment horizontal="left" vertical="top"/>
    </xf>
    <xf numFmtId="43" fontId="21" fillId="0" borderId="18" xfId="32" applyFont="1" applyFill="1" applyBorder="1" applyAlignment="1">
      <alignment horizontal="right"/>
    </xf>
    <xf numFmtId="0" fontId="21" fillId="0" borderId="18" xfId="0" applyFont="1" applyBorder="1"/>
    <xf numFmtId="4" fontId="21" fillId="33" borderId="0" xfId="0" applyNumberFormat="1" applyFont="1" applyFill="1" applyAlignment="1">
      <alignment horizontal="center" vertical="top"/>
    </xf>
    <xf numFmtId="44" fontId="21" fillId="33" borderId="0" xfId="33" applyFont="1" applyFill="1" applyBorder="1" applyAlignment="1">
      <alignment vertical="top"/>
    </xf>
    <xf numFmtId="0" fontId="21" fillId="33" borderId="20" xfId="0" applyFont="1" applyFill="1" applyBorder="1" applyAlignment="1">
      <alignment horizontal="center" vertical="top"/>
    </xf>
    <xf numFmtId="0" fontId="21" fillId="33" borderId="20" xfId="0" applyFont="1" applyFill="1" applyBorder="1" applyAlignment="1">
      <alignment vertical="top"/>
    </xf>
    <xf numFmtId="0" fontId="22" fillId="33" borderId="20" xfId="0" applyFont="1" applyFill="1" applyBorder="1" applyAlignment="1">
      <alignment horizontal="left" vertical="top"/>
    </xf>
    <xf numFmtId="4" fontId="21" fillId="33" borderId="20" xfId="0" applyNumberFormat="1" applyFont="1" applyFill="1" applyBorder="1" applyAlignment="1">
      <alignment horizontal="center" vertical="top"/>
    </xf>
    <xf numFmtId="0" fontId="22" fillId="33" borderId="20" xfId="0" applyFont="1" applyFill="1" applyBorder="1" applyAlignment="1">
      <alignment horizontal="center" vertical="top"/>
    </xf>
    <xf numFmtId="44" fontId="21" fillId="33" borderId="20" xfId="33" applyFont="1" applyFill="1" applyBorder="1" applyAlignment="1">
      <alignment vertical="top"/>
    </xf>
    <xf numFmtId="0" fontId="21" fillId="33" borderId="20" xfId="0" applyFont="1" applyFill="1" applyBorder="1" applyAlignment="1">
      <alignment horizontal="left" vertical="top"/>
    </xf>
    <xf numFmtId="44" fontId="21" fillId="33" borderId="20" xfId="33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20" xfId="0" applyFont="1" applyFill="1" applyBorder="1" applyAlignment="1">
      <alignment horizontal="center" vertical="top" wrapText="1"/>
    </xf>
    <xf numFmtId="0" fontId="46" fillId="37" borderId="16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top"/>
    </xf>
    <xf numFmtId="167" fontId="27" fillId="35" borderId="15" xfId="0" applyNumberFormat="1" applyFont="1" applyFill="1" applyBorder="1"/>
    <xf numFmtId="166" fontId="54" fillId="0" borderId="0" xfId="0" applyNumberFormat="1" applyFont="1" applyAlignment="1">
      <alignment vertical="center"/>
    </xf>
    <xf numFmtId="167" fontId="54" fillId="0" borderId="0" xfId="32" applyNumberFormat="1" applyFont="1" applyAlignment="1">
      <alignment vertical="center"/>
    </xf>
    <xf numFmtId="0" fontId="27" fillId="35" borderId="15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166" fontId="43" fillId="0" borderId="29" xfId="33" applyNumberFormat="1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66" fontId="44" fillId="0" borderId="28" xfId="33" applyNumberFormat="1" applyFont="1" applyBorder="1" applyAlignment="1">
      <alignment vertical="center"/>
    </xf>
    <xf numFmtId="166" fontId="43" fillId="0" borderId="42" xfId="33" applyNumberFormat="1" applyFont="1" applyBorder="1" applyAlignment="1">
      <alignment vertical="center"/>
    </xf>
    <xf numFmtId="166" fontId="43" fillId="0" borderId="23" xfId="33" applyNumberFormat="1" applyFont="1" applyBorder="1" applyAlignment="1">
      <alignment horizontal="center" vertical="center"/>
    </xf>
    <xf numFmtId="37" fontId="43" fillId="39" borderId="25" xfId="33" applyNumberFormat="1" applyFont="1" applyFill="1" applyBorder="1" applyAlignment="1">
      <alignment horizontal="center" vertical="center"/>
    </xf>
    <xf numFmtId="0" fontId="4" fillId="39" borderId="24" xfId="19" applyFill="1" applyBorder="1" applyAlignment="1">
      <alignment vertical="top"/>
    </xf>
    <xf numFmtId="0" fontId="4" fillId="39" borderId="21" xfId="19" applyFill="1" applyBorder="1" applyAlignment="1">
      <alignment vertical="top"/>
    </xf>
    <xf numFmtId="0" fontId="4" fillId="39" borderId="24" xfId="19" applyFill="1" applyBorder="1"/>
    <xf numFmtId="0" fontId="4" fillId="39" borderId="29" xfId="19" applyFill="1" applyBorder="1"/>
    <xf numFmtId="0" fontId="4" fillId="39" borderId="21" xfId="19" applyFill="1" applyBorder="1"/>
    <xf numFmtId="0" fontId="4" fillId="39" borderId="31" xfId="19" applyFill="1" applyBorder="1"/>
    <xf numFmtId="0" fontId="62" fillId="0" borderId="0" xfId="0" applyFont="1" applyAlignment="1">
      <alignment horizontal="centerContinuous"/>
    </xf>
    <xf numFmtId="0" fontId="64" fillId="0" borderId="0" xfId="0" applyFont="1" applyAlignment="1">
      <alignment horizontal="centerContinuous"/>
    </xf>
    <xf numFmtId="0" fontId="53" fillId="0" borderId="0" xfId="0" applyFont="1" applyAlignment="1">
      <alignment horizontal="left" vertical="center"/>
    </xf>
    <xf numFmtId="43" fontId="48" fillId="38" borderId="53" xfId="32" applyFont="1" applyFill="1" applyBorder="1" applyAlignment="1">
      <alignment horizontal="center" vertical="center" wrapText="1"/>
    </xf>
    <xf numFmtId="0" fontId="48" fillId="38" borderId="17" xfId="0" applyFont="1" applyFill="1" applyBorder="1" applyAlignment="1">
      <alignment horizontal="center" vertical="center" wrapText="1"/>
    </xf>
    <xf numFmtId="0" fontId="47" fillId="37" borderId="16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67" fillId="0" borderId="0" xfId="0" applyFont="1" applyAlignment="1">
      <alignment horizontal="centerContinuous"/>
    </xf>
    <xf numFmtId="0" fontId="61" fillId="0" borderId="0" xfId="0" applyFont="1" applyAlignment="1">
      <alignment horizontal="centerContinuous" vertical="center"/>
    </xf>
    <xf numFmtId="0" fontId="65" fillId="0" borderId="0" xfId="0" applyFont="1" applyAlignment="1">
      <alignment horizontal="centerContinuous" vertical="center"/>
    </xf>
    <xf numFmtId="43" fontId="48" fillId="38" borderId="45" xfId="32" applyFont="1" applyFill="1" applyBorder="1" applyAlignment="1">
      <alignment horizontal="center" vertical="center" wrapText="1"/>
    </xf>
    <xf numFmtId="0" fontId="38" fillId="0" borderId="0" xfId="0" applyFont="1"/>
    <xf numFmtId="0" fontId="72" fillId="0" borderId="0" xfId="0" applyFont="1" applyAlignment="1">
      <alignment horizontal="centerContinuous" vertical="center"/>
    </xf>
    <xf numFmtId="166" fontId="57" fillId="39" borderId="29" xfId="19" applyNumberFormat="1" applyFont="1" applyFill="1" applyBorder="1" applyAlignment="1">
      <alignment vertical="center"/>
    </xf>
    <xf numFmtId="166" fontId="57" fillId="39" borderId="34" xfId="19" applyNumberFormat="1" applyFont="1" applyFill="1" applyBorder="1" applyAlignment="1">
      <alignment vertical="center"/>
    </xf>
    <xf numFmtId="166" fontId="57" fillId="39" borderId="35" xfId="19" applyNumberFormat="1" applyFont="1" applyFill="1" applyBorder="1" applyAlignment="1">
      <alignment vertical="center"/>
    </xf>
    <xf numFmtId="166" fontId="57" fillId="39" borderId="36" xfId="19" applyNumberFormat="1" applyFont="1" applyFill="1" applyBorder="1" applyAlignment="1">
      <alignment vertical="center"/>
    </xf>
    <xf numFmtId="166" fontId="57" fillId="39" borderId="26" xfId="19" applyNumberFormat="1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166" fontId="54" fillId="0" borderId="40" xfId="33" applyNumberFormat="1" applyFont="1" applyBorder="1" applyAlignment="1">
      <alignment horizontal="right" vertical="center"/>
    </xf>
    <xf numFmtId="166" fontId="54" fillId="0" borderId="51" xfId="33" applyNumberFormat="1" applyFont="1" applyBorder="1" applyAlignment="1">
      <alignment horizontal="right" vertical="center"/>
    </xf>
    <xf numFmtId="166" fontId="54" fillId="0" borderId="37" xfId="33" applyNumberFormat="1" applyFont="1" applyBorder="1" applyAlignment="1">
      <alignment horizontal="right" vertical="center"/>
    </xf>
    <xf numFmtId="166" fontId="54" fillId="0" borderId="50" xfId="33" applyNumberFormat="1" applyFont="1" applyBorder="1" applyAlignment="1">
      <alignment horizontal="right" vertical="center"/>
    </xf>
    <xf numFmtId="166" fontId="57" fillId="39" borderId="30" xfId="19" applyNumberFormat="1" applyFont="1" applyFill="1" applyBorder="1" applyAlignment="1">
      <alignment vertical="center"/>
    </xf>
    <xf numFmtId="166" fontId="57" fillId="39" borderId="56" xfId="19" applyNumberFormat="1" applyFont="1" applyFill="1" applyBorder="1" applyAlignment="1">
      <alignment vertical="center"/>
    </xf>
    <xf numFmtId="166" fontId="57" fillId="39" borderId="44" xfId="19" applyNumberFormat="1" applyFont="1" applyFill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74" fillId="0" borderId="0" xfId="0" applyFont="1" applyAlignment="1">
      <alignment horizontal="centerContinuous"/>
    </xf>
    <xf numFmtId="44" fontId="21" fillId="0" borderId="14" xfId="0" applyNumberFormat="1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4" fontId="21" fillId="0" borderId="12" xfId="0" applyNumberFormat="1" applyFont="1" applyBorder="1" applyAlignment="1">
      <alignment horizontal="center" vertical="top"/>
    </xf>
    <xf numFmtId="44" fontId="21" fillId="0" borderId="12" xfId="0" applyNumberFormat="1" applyFont="1" applyBorder="1" applyAlignment="1">
      <alignment vertical="top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6" fontId="27" fillId="0" borderId="0" xfId="33" applyNumberFormat="1" applyFont="1" applyFill="1" applyBorder="1" applyAlignment="1">
      <alignment vertical="center"/>
    </xf>
    <xf numFmtId="166" fontId="27" fillId="0" borderId="0" xfId="33" applyNumberFormat="1" applyFont="1" applyFill="1" applyBorder="1" applyAlignment="1">
      <alignment horizontal="center" vertical="center"/>
    </xf>
    <xf numFmtId="0" fontId="75" fillId="37" borderId="16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/>
    </xf>
    <xf numFmtId="0" fontId="60" fillId="33" borderId="0" xfId="0" applyFont="1" applyFill="1" applyAlignment="1">
      <alignment horizontal="left" vertical="center"/>
    </xf>
    <xf numFmtId="0" fontId="60" fillId="0" borderId="0" xfId="0" applyFont="1" applyAlignment="1">
      <alignment horizontal="left" vertical="top"/>
    </xf>
    <xf numFmtId="0" fontId="60" fillId="0" borderId="55" xfId="0" applyFont="1" applyBorder="1" applyAlignment="1">
      <alignment horizontal="left" vertical="center"/>
    </xf>
    <xf numFmtId="0" fontId="76" fillId="0" borderId="0" xfId="0" applyFont="1" applyAlignment="1">
      <alignment vertical="top"/>
    </xf>
    <xf numFmtId="0" fontId="76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49" fillId="38" borderId="36" xfId="0" applyFont="1" applyFill="1" applyBorder="1" applyAlignment="1">
      <alignment horizontal="center" vertical="center" wrapText="1"/>
    </xf>
    <xf numFmtId="0" fontId="48" fillId="38" borderId="15" xfId="0" applyFont="1" applyFill="1" applyBorder="1" applyAlignment="1">
      <alignment horizontal="center" vertical="center" wrapText="1"/>
    </xf>
    <xf numFmtId="166" fontId="27" fillId="0" borderId="36" xfId="0" applyNumberFormat="1" applyFont="1" applyBorder="1" applyAlignment="1">
      <alignment vertical="center"/>
    </xf>
    <xf numFmtId="166" fontId="27" fillId="0" borderId="61" xfId="0" applyNumberFormat="1" applyFont="1" applyBorder="1" applyAlignment="1">
      <alignment vertical="center"/>
    </xf>
    <xf numFmtId="166" fontId="21" fillId="0" borderId="30" xfId="33" applyNumberFormat="1" applyFont="1" applyFill="1" applyBorder="1"/>
    <xf numFmtId="166" fontId="21" fillId="0" borderId="18" xfId="33" applyNumberFormat="1" applyFont="1" applyFill="1" applyBorder="1"/>
    <xf numFmtId="166" fontId="21" fillId="0" borderId="58" xfId="33" applyNumberFormat="1" applyFont="1" applyFill="1" applyBorder="1"/>
    <xf numFmtId="166" fontId="21" fillId="0" borderId="28" xfId="33" applyNumberFormat="1" applyFont="1" applyFill="1" applyBorder="1"/>
    <xf numFmtId="166" fontId="21" fillId="0" borderId="20" xfId="33" applyNumberFormat="1" applyFont="1" applyFill="1" applyBorder="1"/>
    <xf numFmtId="166" fontId="21" fillId="0" borderId="59" xfId="33" applyNumberFormat="1" applyFont="1" applyFill="1" applyBorder="1"/>
    <xf numFmtId="166" fontId="22" fillId="0" borderId="28" xfId="33" applyNumberFormat="1" applyFont="1" applyFill="1" applyBorder="1"/>
    <xf numFmtId="166" fontId="21" fillId="0" borderId="28" xfId="33" applyNumberFormat="1" applyFont="1" applyFill="1" applyBorder="1" applyAlignment="1">
      <alignment vertical="top"/>
    </xf>
    <xf numFmtId="166" fontId="21" fillId="0" borderId="20" xfId="33" applyNumberFormat="1" applyFont="1" applyFill="1" applyBorder="1" applyAlignment="1">
      <alignment vertical="top"/>
    </xf>
    <xf numFmtId="166" fontId="21" fillId="0" borderId="59" xfId="33" applyNumberFormat="1" applyFont="1" applyFill="1" applyBorder="1" applyAlignment="1">
      <alignment vertical="top"/>
    </xf>
    <xf numFmtId="166" fontId="21" fillId="0" borderId="29" xfId="33" applyNumberFormat="1" applyFont="1" applyBorder="1"/>
    <xf numFmtId="166" fontId="21" fillId="0" borderId="0" xfId="33" applyNumberFormat="1" applyFont="1" applyBorder="1"/>
    <xf numFmtId="166" fontId="21" fillId="0" borderId="60" xfId="33" applyNumberFormat="1" applyFont="1" applyBorder="1"/>
    <xf numFmtId="166" fontId="21" fillId="33" borderId="0" xfId="33" applyNumberFormat="1" applyFont="1" applyFill="1" applyBorder="1" applyAlignment="1">
      <alignment vertical="top"/>
    </xf>
    <xf numFmtId="166" fontId="21" fillId="33" borderId="20" xfId="33" applyNumberFormat="1" applyFont="1" applyFill="1" applyBorder="1" applyAlignment="1">
      <alignment vertical="top"/>
    </xf>
    <xf numFmtId="166" fontId="21" fillId="0" borderId="0" xfId="33" applyNumberFormat="1" applyFont="1" applyFill="1" applyBorder="1" applyAlignment="1">
      <alignment vertical="top"/>
    </xf>
    <xf numFmtId="166" fontId="21" fillId="33" borderId="60" xfId="33" applyNumberFormat="1" applyFont="1" applyFill="1" applyBorder="1" applyAlignment="1">
      <alignment vertical="top"/>
    </xf>
    <xf numFmtId="166" fontId="21" fillId="33" borderId="59" xfId="33" applyNumberFormat="1" applyFont="1" applyFill="1" applyBorder="1" applyAlignment="1">
      <alignment vertical="top"/>
    </xf>
    <xf numFmtId="166" fontId="21" fillId="0" borderId="13" xfId="33" applyNumberFormat="1" applyFont="1" applyFill="1" applyBorder="1" applyAlignment="1">
      <alignment vertical="top"/>
    </xf>
    <xf numFmtId="166" fontId="21" fillId="0" borderId="62" xfId="33" applyNumberFormat="1" applyFont="1" applyFill="1" applyBorder="1" applyAlignment="1">
      <alignment vertical="top"/>
    </xf>
    <xf numFmtId="166" fontId="21" fillId="33" borderId="29" xfId="33" applyNumberFormat="1" applyFont="1" applyFill="1" applyBorder="1" applyAlignment="1">
      <alignment vertical="top"/>
    </xf>
    <xf numFmtId="166" fontId="21" fillId="33" borderId="28" xfId="33" applyNumberFormat="1" applyFont="1" applyFill="1" applyBorder="1" applyAlignment="1">
      <alignment vertical="top"/>
    </xf>
    <xf numFmtId="166" fontId="21" fillId="0" borderId="63" xfId="33" applyNumberFormat="1" applyFont="1" applyFill="1" applyBorder="1" applyAlignment="1">
      <alignment vertical="top"/>
    </xf>
    <xf numFmtId="166" fontId="27" fillId="0" borderId="27" xfId="0" applyNumberFormat="1" applyFont="1" applyBorder="1" applyAlignment="1">
      <alignment vertical="center"/>
    </xf>
    <xf numFmtId="166" fontId="27" fillId="0" borderId="64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166" fontId="27" fillId="37" borderId="65" xfId="33" applyNumberFormat="1" applyFont="1" applyFill="1" applyBorder="1" applyAlignment="1">
      <alignment vertical="center"/>
    </xf>
    <xf numFmtId="166" fontId="27" fillId="37" borderId="26" xfId="33" applyNumberFormat="1" applyFont="1" applyFill="1" applyBorder="1" applyAlignment="1">
      <alignment vertical="center"/>
    </xf>
    <xf numFmtId="166" fontId="21" fillId="0" borderId="0" xfId="33" applyNumberFormat="1" applyFont="1" applyFill="1" applyBorder="1"/>
    <xf numFmtId="43" fontId="48" fillId="38" borderId="54" xfId="32" applyFont="1" applyFill="1" applyBorder="1" applyAlignment="1">
      <alignment horizontal="center" vertical="center" wrapText="1"/>
    </xf>
    <xf numFmtId="4" fontId="48" fillId="38" borderId="57" xfId="0" applyNumberFormat="1" applyFont="1" applyFill="1" applyBorder="1" applyAlignment="1">
      <alignment horizontal="center" vertical="center" wrapText="1"/>
    </xf>
    <xf numFmtId="4" fontId="48" fillId="38" borderId="15" xfId="32" applyNumberFormat="1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left" vertical="center"/>
    </xf>
    <xf numFmtId="0" fontId="77" fillId="0" borderId="0" xfId="0" applyFont="1" applyAlignment="1">
      <alignment vertical="center"/>
    </xf>
    <xf numFmtId="4" fontId="48" fillId="38" borderId="17" xfId="32" applyNumberFormat="1" applyFont="1" applyFill="1" applyBorder="1" applyAlignment="1">
      <alignment horizontal="center" vertical="center" wrapText="1"/>
    </xf>
    <xf numFmtId="4" fontId="48" fillId="38" borderId="17" xfId="0" applyNumberFormat="1" applyFont="1" applyFill="1" applyBorder="1" applyAlignment="1">
      <alignment horizontal="center" vertical="center" wrapText="1"/>
    </xf>
    <xf numFmtId="166" fontId="21" fillId="0" borderId="14" xfId="0" applyNumberFormat="1" applyFont="1" applyBorder="1" applyAlignment="1">
      <alignment vertical="top"/>
    </xf>
    <xf numFmtId="1" fontId="21" fillId="0" borderId="27" xfId="0" applyNumberFormat="1" applyFont="1" applyBorder="1"/>
    <xf numFmtId="166" fontId="21" fillId="0" borderId="15" xfId="33" applyNumberFormat="1" applyFont="1" applyFill="1" applyBorder="1"/>
    <xf numFmtId="1" fontId="21" fillId="0" borderId="29" xfId="0" applyNumberFormat="1" applyFont="1" applyBorder="1"/>
    <xf numFmtId="0" fontId="21" fillId="0" borderId="29" xfId="0" applyFont="1" applyBorder="1"/>
    <xf numFmtId="166" fontId="21" fillId="0" borderId="64" xfId="33" applyNumberFormat="1" applyFont="1" applyFill="1" applyBorder="1"/>
    <xf numFmtId="166" fontId="21" fillId="0" borderId="60" xfId="33" applyNumberFormat="1" applyFont="1" applyFill="1" applyBorder="1"/>
    <xf numFmtId="166" fontId="43" fillId="37" borderId="65" xfId="33" applyNumberFormat="1" applyFont="1" applyFill="1" applyBorder="1" applyAlignment="1">
      <alignment vertical="center"/>
    </xf>
    <xf numFmtId="43" fontId="27" fillId="37" borderId="26" xfId="0" applyNumberFormat="1" applyFont="1" applyFill="1" applyBorder="1" applyAlignment="1">
      <alignment vertical="center"/>
    </xf>
    <xf numFmtId="44" fontId="21" fillId="0" borderId="67" xfId="0" applyNumberFormat="1" applyFont="1" applyBorder="1"/>
    <xf numFmtId="166" fontId="21" fillId="0" borderId="67" xfId="0" applyNumberFormat="1" applyFont="1" applyBorder="1"/>
    <xf numFmtId="166" fontId="27" fillId="35" borderId="36" xfId="33" applyNumberFormat="1" applyFont="1" applyFill="1" applyBorder="1" applyAlignment="1">
      <alignment vertical="center"/>
    </xf>
    <xf numFmtId="166" fontId="21" fillId="0" borderId="61" xfId="33" applyNumberFormat="1" applyFont="1" applyFill="1" applyBorder="1" applyAlignment="1">
      <alignment vertical="top"/>
    </xf>
    <xf numFmtId="166" fontId="27" fillId="35" borderId="61" xfId="33" applyNumberFormat="1" applyFont="1" applyFill="1" applyBorder="1" applyAlignment="1">
      <alignment vertical="center"/>
    </xf>
    <xf numFmtId="166" fontId="21" fillId="0" borderId="61" xfId="0" applyNumberFormat="1" applyFont="1" applyBorder="1" applyAlignment="1">
      <alignment vertical="top"/>
    </xf>
    <xf numFmtId="166" fontId="21" fillId="0" borderId="36" xfId="0" applyNumberFormat="1" applyFont="1" applyBorder="1" applyAlignment="1">
      <alignment vertical="top"/>
    </xf>
    <xf numFmtId="166" fontId="21" fillId="0" borderId="61" xfId="33" applyNumberFormat="1" applyFont="1" applyBorder="1" applyAlignment="1">
      <alignment vertical="top"/>
    </xf>
    <xf numFmtId="44" fontId="21" fillId="0" borderId="36" xfId="33" applyFont="1" applyBorder="1" applyAlignment="1">
      <alignment vertical="top" wrapText="1"/>
    </xf>
    <xf numFmtId="166" fontId="21" fillId="0" borderId="36" xfId="33" applyNumberFormat="1" applyFont="1" applyFill="1" applyBorder="1" applyAlignment="1">
      <alignment vertical="top"/>
    </xf>
    <xf numFmtId="166" fontId="21" fillId="0" borderId="68" xfId="33" applyNumberFormat="1" applyFont="1" applyFill="1" applyBorder="1" applyAlignment="1">
      <alignment vertical="top"/>
    </xf>
    <xf numFmtId="166" fontId="21" fillId="0" borderId="11" xfId="33" applyNumberFormat="1" applyFont="1" applyFill="1" applyBorder="1" applyAlignment="1">
      <alignment vertical="top"/>
    </xf>
    <xf numFmtId="166" fontId="27" fillId="35" borderId="11" xfId="33" applyNumberFormat="1" applyFont="1" applyFill="1" applyBorder="1" applyAlignment="1">
      <alignment vertical="center"/>
    </xf>
    <xf numFmtId="166" fontId="21" fillId="0" borderId="36" xfId="33" applyNumberFormat="1" applyFont="1" applyFill="1" applyBorder="1"/>
    <xf numFmtId="43" fontId="21" fillId="0" borderId="11" xfId="32" applyFont="1" applyFill="1" applyBorder="1" applyAlignment="1">
      <alignment vertical="top"/>
    </xf>
    <xf numFmtId="166" fontId="27" fillId="37" borderId="66" xfId="33" applyNumberFormat="1" applyFont="1" applyFill="1" applyBorder="1" applyAlignment="1">
      <alignment vertical="center"/>
    </xf>
    <xf numFmtId="0" fontId="22" fillId="33" borderId="36" xfId="0" applyFont="1" applyFill="1" applyBorder="1" applyAlignment="1">
      <alignment horizontal="center"/>
    </xf>
    <xf numFmtId="0" fontId="46" fillId="0" borderId="69" xfId="0" applyFont="1" applyBorder="1" applyAlignment="1">
      <alignment horizontal="center" vertical="center"/>
    </xf>
    <xf numFmtId="37" fontId="73" fillId="39" borderId="69" xfId="33" applyNumberFormat="1" applyFont="1" applyFill="1" applyBorder="1" applyAlignment="1">
      <alignment horizontal="center" vertical="center"/>
    </xf>
    <xf numFmtId="37" fontId="53" fillId="0" borderId="70" xfId="33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Continuous"/>
    </xf>
    <xf numFmtId="44" fontId="54" fillId="0" borderId="13" xfId="33" applyFont="1" applyBorder="1" applyAlignment="1">
      <alignment horizontal="centerContinuous"/>
    </xf>
    <xf numFmtId="44" fontId="78" fillId="39" borderId="71" xfId="33" applyFont="1" applyFill="1" applyBorder="1" applyAlignment="1">
      <alignment horizontal="center" vertical="center" wrapText="1"/>
    </xf>
    <xf numFmtId="37" fontId="73" fillId="39" borderId="72" xfId="33" applyNumberFormat="1" applyFont="1" applyFill="1" applyBorder="1" applyAlignment="1">
      <alignment horizontal="center" vertical="center"/>
    </xf>
    <xf numFmtId="44" fontId="78" fillId="39" borderId="15" xfId="33" applyFont="1" applyFill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top"/>
    </xf>
    <xf numFmtId="169" fontId="60" fillId="39" borderId="73" xfId="33" applyNumberFormat="1" applyFont="1" applyFill="1" applyBorder="1" applyAlignment="1">
      <alignment horizontal="center" vertical="top"/>
    </xf>
    <xf numFmtId="169" fontId="60" fillId="39" borderId="74" xfId="33" applyNumberFormat="1" applyFont="1" applyFill="1" applyBorder="1" applyAlignment="1">
      <alignment horizontal="center" vertical="top"/>
    </xf>
    <xf numFmtId="0" fontId="36" fillId="0" borderId="0" xfId="0" applyFont="1" applyAlignment="1">
      <alignment horizontal="centerContinuous" vertical="top"/>
    </xf>
    <xf numFmtId="166" fontId="27" fillId="0" borderId="0" xfId="0" applyNumberFormat="1" applyFont="1"/>
    <xf numFmtId="166" fontId="27" fillId="0" borderId="60" xfId="0" applyNumberFormat="1" applyFont="1" applyBorder="1"/>
    <xf numFmtId="43" fontId="65" fillId="37" borderId="18" xfId="47" applyNumberFormat="1" applyFont="1" applyFill="1" applyBorder="1" applyAlignment="1">
      <alignment horizontal="left" vertical="center" wrapText="1"/>
    </xf>
    <xf numFmtId="43" fontId="65" fillId="0" borderId="0" xfId="47" applyNumberFormat="1" applyFont="1" applyFill="1" applyBorder="1" applyAlignment="1">
      <alignment horizontal="left" vertical="center"/>
    </xf>
    <xf numFmtId="43" fontId="65" fillId="37" borderId="0" xfId="47" applyNumberFormat="1" applyFont="1" applyFill="1" applyBorder="1" applyAlignment="1">
      <alignment horizontal="left" vertical="center" wrapText="1"/>
    </xf>
    <xf numFmtId="0" fontId="65" fillId="0" borderId="0" xfId="47" applyFont="1" applyFill="1" applyBorder="1" applyAlignment="1">
      <alignment vertical="center"/>
    </xf>
    <xf numFmtId="0" fontId="81" fillId="37" borderId="0" xfId="0" applyFont="1" applyFill="1" applyAlignment="1">
      <alignment horizontal="left" vertical="center"/>
    </xf>
    <xf numFmtId="43" fontId="81" fillId="37" borderId="0" xfId="32" applyFont="1" applyFill="1" applyBorder="1" applyAlignment="1">
      <alignment horizontal="right" vertical="center"/>
    </xf>
    <xf numFmtId="43" fontId="81" fillId="37" borderId="18" xfId="32" applyFont="1" applyFill="1" applyBorder="1" applyAlignment="1">
      <alignment horizontal="right" vertical="center"/>
    </xf>
    <xf numFmtId="43" fontId="81" fillId="0" borderId="0" xfId="32" applyFont="1" applyFill="1" applyBorder="1" applyAlignment="1">
      <alignment horizontal="right" vertical="center"/>
    </xf>
    <xf numFmtId="0" fontId="81" fillId="0" borderId="0" xfId="0" applyFont="1" applyAlignment="1">
      <alignment horizontal="left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70" fillId="0" borderId="0" xfId="0" applyFont="1" applyAlignment="1">
      <alignment horizontal="center"/>
    </xf>
    <xf numFmtId="0" fontId="32" fillId="0" borderId="15" xfId="0" applyFont="1" applyBorder="1" applyAlignment="1">
      <alignment horizontal="left" vertical="center" wrapText="1"/>
    </xf>
    <xf numFmtId="0" fontId="50" fillId="38" borderId="0" xfId="0" applyFont="1" applyFill="1" applyAlignment="1">
      <alignment horizontal="center" vertical="center" wrapText="1"/>
    </xf>
    <xf numFmtId="168" fontId="53" fillId="39" borderId="24" xfId="0" applyNumberFormat="1" applyFont="1" applyFill="1" applyBorder="1" applyAlignment="1">
      <alignment horizontal="center" vertical="top"/>
    </xf>
    <xf numFmtId="168" fontId="51" fillId="39" borderId="21" xfId="0" applyNumberFormat="1" applyFont="1" applyFill="1" applyBorder="1" applyAlignment="1">
      <alignment horizontal="center" vertical="top"/>
    </xf>
    <xf numFmtId="0" fontId="55" fillId="39" borderId="24" xfId="0" applyFont="1" applyFill="1" applyBorder="1" applyAlignment="1">
      <alignment horizontal="center" vertical="top"/>
    </xf>
    <xf numFmtId="0" fontId="55" fillId="39" borderId="21" xfId="0" applyFont="1" applyFill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center"/>
    </xf>
    <xf numFmtId="171" fontId="70" fillId="0" borderId="0" xfId="0" applyNumberFormat="1" applyFont="1" applyAlignment="1">
      <alignment horizontal="right" vertical="center" textRotation="90" wrapText="1"/>
    </xf>
    <xf numFmtId="0" fontId="28" fillId="0" borderId="0" xfId="0" applyFont="1" applyAlignment="1">
      <alignment horizontal="left" vertical="center" textRotation="90" wrapText="1"/>
    </xf>
    <xf numFmtId="0" fontId="28" fillId="0" borderId="0" xfId="0" applyFont="1" applyAlignment="1">
      <alignment horizontal="left" vertical="center" textRotation="90"/>
    </xf>
    <xf numFmtId="44" fontId="53" fillId="0" borderId="27" xfId="33" applyFont="1" applyFill="1" applyBorder="1" applyAlignment="1">
      <alignment horizontal="center" vertical="center"/>
    </xf>
    <xf numFmtId="44" fontId="53" fillId="0" borderId="75" xfId="33" applyFont="1" applyFill="1" applyBorder="1" applyAlignment="1">
      <alignment horizontal="center" vertical="center"/>
    </xf>
    <xf numFmtId="171" fontId="38" fillId="0" borderId="0" xfId="0" applyNumberFormat="1" applyFont="1" applyAlignment="1">
      <alignment horizontal="right" vertical="center" textRotation="90" wrapText="1"/>
    </xf>
    <xf numFmtId="0" fontId="25" fillId="33" borderId="11" xfId="0" applyFont="1" applyFill="1" applyBorder="1" applyAlignment="1">
      <alignment horizontal="right" vertical="top"/>
    </xf>
    <xf numFmtId="43" fontId="81" fillId="37" borderId="19" xfId="32" applyFont="1" applyFill="1" applyBorder="1" applyAlignment="1">
      <alignment horizontal="right" vertical="center"/>
    </xf>
    <xf numFmtId="43" fontId="82" fillId="37" borderId="19" xfId="32" quotePrefix="1" applyFont="1" applyFill="1" applyBorder="1" applyAlignment="1">
      <alignment horizontal="left" vertical="center"/>
    </xf>
    <xf numFmtId="43" fontId="65" fillId="37" borderId="19" xfId="47" applyNumberFormat="1" applyFont="1" applyFill="1" applyBorder="1" applyAlignment="1">
      <alignment horizontal="left" vertical="center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7" builtinId="8"/>
    <cellStyle name="Incorrecto" xfId="31" builtinId="27" customBuiltin="1"/>
    <cellStyle name="Millares" xfId="32" builtinId="3"/>
    <cellStyle name="Moneda" xfId="33" builtinId="4"/>
    <cellStyle name="Moneda 3" xfId="34" xr:uid="{00000000-0005-0000-0000-000022000000}"/>
    <cellStyle name="Neutral" xfId="35" builtinId="28" customBuiltin="1"/>
    <cellStyle name="Normal" xfId="0" builtinId="0"/>
    <cellStyle name="Normal 11" xfId="36" xr:uid="{00000000-0005-0000-0000-000025000000}"/>
    <cellStyle name="Normal 2" xfId="37" xr:uid="{00000000-0005-0000-0000-000026000000}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7A0000"/>
      </font>
      <fill>
        <patternFill>
          <bgColor rgb="FFFF8080"/>
        </patternFill>
      </fill>
    </dxf>
    <dxf>
      <font>
        <b/>
        <i val="0"/>
        <color rgb="FF375623"/>
      </font>
      <fill>
        <patternFill>
          <bgColor rgb="FF98CC00"/>
        </patternFill>
      </fill>
    </dxf>
    <dxf>
      <font>
        <b/>
        <i val="0"/>
        <color rgb="FF7A0000"/>
      </font>
      <fill>
        <patternFill>
          <bgColor rgb="FFFF8080"/>
        </patternFill>
      </fill>
    </dxf>
    <dxf>
      <font>
        <b/>
        <i val="0"/>
        <color rgb="FF375623"/>
      </font>
      <fill>
        <patternFill>
          <bgColor rgb="FF98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alignment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mruColors>
      <color rgb="FF003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Contents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Content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Menu!A1"/><Relationship Id="rId1" Type="http://schemas.openxmlformats.org/officeDocument/2006/relationships/hyperlink" Target="#'Contents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Contents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Content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0</xdr:row>
      <xdr:rowOff>39689</xdr:rowOff>
    </xdr:from>
    <xdr:to>
      <xdr:col>3</xdr:col>
      <xdr:colOff>109537</xdr:colOff>
      <xdr:row>0</xdr:row>
      <xdr:rowOff>334964</xdr:rowOff>
    </xdr:to>
    <xdr:sp macro="" textlink="">
      <xdr:nvSpPr>
        <xdr:cNvPr id="4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3875" y="39689"/>
          <a:ext cx="847725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19</xdr:col>
      <xdr:colOff>0</xdr:colOff>
      <xdr:row>0</xdr:row>
      <xdr:rowOff>134938</xdr:rowOff>
    </xdr:from>
    <xdr:to>
      <xdr:col>19</xdr:col>
      <xdr:colOff>847725</xdr:colOff>
      <xdr:row>0</xdr:row>
      <xdr:rowOff>430213</xdr:rowOff>
    </xdr:to>
    <xdr:sp macro="" textlink="">
      <xdr:nvSpPr>
        <xdr:cNvPr id="2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987250" y="134938"/>
          <a:ext cx="847725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8</xdr:col>
      <xdr:colOff>223838</xdr:colOff>
      <xdr:row>0</xdr:row>
      <xdr:rowOff>144463</xdr:rowOff>
    </xdr:from>
    <xdr:to>
      <xdr:col>8</xdr:col>
      <xdr:colOff>1071563</xdr:colOff>
      <xdr:row>0</xdr:row>
      <xdr:rowOff>439738</xdr:rowOff>
    </xdr:to>
    <xdr:sp macro="" textlink="">
      <xdr:nvSpPr>
        <xdr:cNvPr id="5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622338" y="144463"/>
          <a:ext cx="847725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50800</xdr:rowOff>
    </xdr:from>
    <xdr:to>
      <xdr:col>2</xdr:col>
      <xdr:colOff>136525</xdr:colOff>
      <xdr:row>0</xdr:row>
      <xdr:rowOff>304800</xdr:rowOff>
    </xdr:to>
    <xdr:sp macro="" textlink="">
      <xdr:nvSpPr>
        <xdr:cNvPr id="3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50800" y="50800"/>
          <a:ext cx="762000" cy="254000"/>
        </a:xfrm>
        <a:prstGeom prst="roundRect">
          <a:avLst/>
        </a:prstGeom>
        <a:solidFill>
          <a:srgbClr val="80808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000" b="1">
              <a:solidFill>
                <a:srgbClr val="FFFFFF"/>
              </a:solidFill>
            </a:rPr>
            <a:t>Contents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50800</xdr:rowOff>
    </xdr:from>
    <xdr:to>
      <xdr:col>1</xdr:col>
      <xdr:colOff>50800</xdr:colOff>
      <xdr:row>1</xdr:row>
      <xdr:rowOff>114300</xdr:rowOff>
    </xdr:to>
    <xdr:sp macro="" textlink="">
      <xdr:nvSpPr>
        <xdr:cNvPr id="3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50800" y="50800"/>
          <a:ext cx="762000" cy="254000"/>
        </a:xfrm>
        <a:prstGeom prst="roundRect">
          <a:avLst/>
        </a:prstGeom>
        <a:solidFill>
          <a:srgbClr val="80808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000" b="1">
              <a:solidFill>
                <a:srgbClr val="FFFFFF"/>
              </a:solidFill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0</xdr:row>
      <xdr:rowOff>127002</xdr:rowOff>
    </xdr:from>
    <xdr:to>
      <xdr:col>2</xdr:col>
      <xdr:colOff>530225</xdr:colOff>
      <xdr:row>1</xdr:row>
      <xdr:rowOff>223839</xdr:rowOff>
    </xdr:to>
    <xdr:sp macro="" textlink="">
      <xdr:nvSpPr>
        <xdr:cNvPr id="4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25438" y="127002"/>
          <a:ext cx="847725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18</xdr:col>
      <xdr:colOff>795337</xdr:colOff>
      <xdr:row>1</xdr:row>
      <xdr:rowOff>73026</xdr:rowOff>
    </xdr:from>
    <xdr:to>
      <xdr:col>19</xdr:col>
      <xdr:colOff>690562</xdr:colOff>
      <xdr:row>2</xdr:row>
      <xdr:rowOff>82551</xdr:rowOff>
    </xdr:to>
    <xdr:sp macro="" textlink="">
      <xdr:nvSpPr>
        <xdr:cNvPr id="5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3964900" y="271464"/>
          <a:ext cx="847725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 editAs="oneCell">
    <xdr:from>
      <xdr:col>4</xdr:col>
      <xdr:colOff>3857626</xdr:colOff>
      <xdr:row>0</xdr:row>
      <xdr:rowOff>47625</xdr:rowOff>
    </xdr:from>
    <xdr:to>
      <xdr:col>5</xdr:col>
      <xdr:colOff>1323015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1" y="47625"/>
          <a:ext cx="1665914" cy="552450"/>
        </a:xfrm>
        <a:prstGeom prst="rect">
          <a:avLst/>
        </a:prstGeom>
      </xdr:spPr>
    </xdr:pic>
    <xdr:clientData/>
  </xdr:twoCellAnchor>
  <xdr:twoCellAnchor editAs="oneCell">
    <xdr:from>
      <xdr:col>11</xdr:col>
      <xdr:colOff>619126</xdr:colOff>
      <xdr:row>0</xdr:row>
      <xdr:rowOff>38100</xdr:rowOff>
    </xdr:from>
    <xdr:to>
      <xdr:col>13</xdr:col>
      <xdr:colOff>408615</xdr:colOff>
      <xdr:row>2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9976" y="38100"/>
          <a:ext cx="1665914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7937</xdr:colOff>
      <xdr:row>0</xdr:row>
      <xdr:rowOff>23812</xdr:rowOff>
    </xdr:from>
    <xdr:to>
      <xdr:col>3</xdr:col>
      <xdr:colOff>53975</xdr:colOff>
      <xdr:row>0</xdr:row>
      <xdr:rowOff>319087</xdr:rowOff>
    </xdr:to>
    <xdr:sp macro="" textlink="">
      <xdr:nvSpPr>
        <xdr:cNvPr id="4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60375" y="23812"/>
          <a:ext cx="847725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 editAs="oneCell">
    <xdr:from>
      <xdr:col>4</xdr:col>
      <xdr:colOff>2228850</xdr:colOff>
      <xdr:row>0</xdr:row>
      <xdr:rowOff>66675</xdr:rowOff>
    </xdr:from>
    <xdr:to>
      <xdr:col>5</xdr:col>
      <xdr:colOff>84764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66675"/>
          <a:ext cx="1665914" cy="552450"/>
        </a:xfrm>
        <a:prstGeom prst="rect">
          <a:avLst/>
        </a:prstGeom>
      </xdr:spPr>
    </xdr:pic>
    <xdr:clientData/>
  </xdr:twoCellAnchor>
  <xdr:twoCellAnchor editAs="oneCell">
    <xdr:from>
      <xdr:col>13</xdr:col>
      <xdr:colOff>914400</xdr:colOff>
      <xdr:row>0</xdr:row>
      <xdr:rowOff>66675</xdr:rowOff>
    </xdr:from>
    <xdr:to>
      <xdr:col>15</xdr:col>
      <xdr:colOff>561014</xdr:colOff>
      <xdr:row>1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4025" y="66675"/>
          <a:ext cx="1665914" cy="552450"/>
        </a:xfrm>
        <a:prstGeom prst="rect">
          <a:avLst/>
        </a:prstGeom>
      </xdr:spPr>
    </xdr:pic>
    <xdr:clientData/>
  </xdr:twoCellAnchor>
  <xdr:twoCellAnchor>
    <xdr:from>
      <xdr:col>18</xdr:col>
      <xdr:colOff>795337</xdr:colOff>
      <xdr:row>0</xdr:row>
      <xdr:rowOff>73026</xdr:rowOff>
    </xdr:from>
    <xdr:to>
      <xdr:col>19</xdr:col>
      <xdr:colOff>690562</xdr:colOff>
      <xdr:row>1</xdr:row>
      <xdr:rowOff>82551</xdr:rowOff>
    </xdr:to>
    <xdr:sp macro="" textlink="">
      <xdr:nvSpPr>
        <xdr:cNvPr id="9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1483637" y="273051"/>
          <a:ext cx="847725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3471862</xdr:colOff>
      <xdr:row>84</xdr:row>
      <xdr:rowOff>66675</xdr:rowOff>
    </xdr:from>
    <xdr:to>
      <xdr:col>5</xdr:col>
      <xdr:colOff>169862</xdr:colOff>
      <xdr:row>86</xdr:row>
      <xdr:rowOff>3175</xdr:rowOff>
    </xdr:to>
    <xdr:sp macro="" textlink="">
      <xdr:nvSpPr>
        <xdr:cNvPr id="2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491287" y="8953500"/>
          <a:ext cx="765175" cy="260350"/>
        </a:xfrm>
        <a:prstGeom prst="roundRect">
          <a:avLst/>
        </a:prstGeom>
        <a:solidFill>
          <a:srgbClr val="80808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000" b="1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2</xdr:col>
      <xdr:colOff>71438</xdr:colOff>
      <xdr:row>0</xdr:row>
      <xdr:rowOff>71437</xdr:rowOff>
    </xdr:from>
    <xdr:to>
      <xdr:col>2</xdr:col>
      <xdr:colOff>919163</xdr:colOff>
      <xdr:row>1</xdr:row>
      <xdr:rowOff>17462</xdr:rowOff>
    </xdr:to>
    <xdr:sp macro="" textlink="">
      <xdr:nvSpPr>
        <xdr:cNvPr id="4" name="Rounded Rectangle 2_ContentButto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00063" y="71437"/>
          <a:ext cx="847725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17</xdr:col>
      <xdr:colOff>795337</xdr:colOff>
      <xdr:row>0</xdr:row>
      <xdr:rowOff>73026</xdr:rowOff>
    </xdr:from>
    <xdr:to>
      <xdr:col>18</xdr:col>
      <xdr:colOff>690562</xdr:colOff>
      <xdr:row>1</xdr:row>
      <xdr:rowOff>82551</xdr:rowOff>
    </xdr:to>
    <xdr:sp macro="" textlink="">
      <xdr:nvSpPr>
        <xdr:cNvPr id="6" name="Rounded Rectangle 2_ContentButto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1483637" y="273051"/>
          <a:ext cx="847725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 editAs="oneCell">
    <xdr:from>
      <xdr:col>15</xdr:col>
      <xdr:colOff>133350</xdr:colOff>
      <xdr:row>0</xdr:row>
      <xdr:rowOff>38101</xdr:rowOff>
    </xdr:from>
    <xdr:to>
      <xdr:col>16</xdr:col>
      <xdr:colOff>313365</xdr:colOff>
      <xdr:row>1</xdr:row>
      <xdr:rowOff>252988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6950" y="38101"/>
          <a:ext cx="1084890" cy="5673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3471862</xdr:colOff>
      <xdr:row>46</xdr:row>
      <xdr:rowOff>66675</xdr:rowOff>
    </xdr:from>
    <xdr:to>
      <xdr:col>5</xdr:col>
      <xdr:colOff>169862</xdr:colOff>
      <xdr:row>48</xdr:row>
      <xdr:rowOff>3175</xdr:rowOff>
    </xdr:to>
    <xdr:sp macro="" textlink="">
      <xdr:nvSpPr>
        <xdr:cNvPr id="3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297612" y="7646988"/>
          <a:ext cx="762000" cy="254000"/>
        </a:xfrm>
        <a:prstGeom prst="roundRect">
          <a:avLst/>
        </a:prstGeom>
        <a:solidFill>
          <a:srgbClr val="80808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000" b="1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5</xdr:col>
      <xdr:colOff>714375</xdr:colOff>
      <xdr:row>0</xdr:row>
      <xdr:rowOff>55563</xdr:rowOff>
    </xdr:from>
    <xdr:to>
      <xdr:col>5</xdr:col>
      <xdr:colOff>1476375</xdr:colOff>
      <xdr:row>0</xdr:row>
      <xdr:rowOff>309563</xdr:rowOff>
    </xdr:to>
    <xdr:sp macro="" textlink="">
      <xdr:nvSpPr>
        <xdr:cNvPr id="4" name="Rounded Rectangle 2_ContentButto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604125" y="55563"/>
          <a:ext cx="762000" cy="254000"/>
        </a:xfrm>
        <a:prstGeom prst="roundRect">
          <a:avLst/>
        </a:prstGeom>
        <a:solidFill>
          <a:srgbClr val="80808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000" b="1">
              <a:solidFill>
                <a:srgbClr val="FFFFFF"/>
              </a:solidFill>
            </a:rPr>
            <a:t>Contents</a:t>
          </a:r>
        </a:p>
      </xdr:txBody>
    </xdr:sp>
    <xdr:clientData/>
  </xdr:twoCellAnchor>
  <xdr:twoCellAnchor>
    <xdr:from>
      <xdr:col>5</xdr:col>
      <xdr:colOff>1825625</xdr:colOff>
      <xdr:row>0</xdr:row>
      <xdr:rowOff>31749</xdr:rowOff>
    </xdr:from>
    <xdr:to>
      <xdr:col>5</xdr:col>
      <xdr:colOff>2673350</xdr:colOff>
      <xdr:row>0</xdr:row>
      <xdr:rowOff>327024</xdr:rowOff>
    </xdr:to>
    <xdr:sp macro="" textlink="">
      <xdr:nvSpPr>
        <xdr:cNvPr id="5" name="Rounded Rectangle 2_ContentButto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715375" y="31749"/>
          <a:ext cx="847725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309563</xdr:colOff>
      <xdr:row>1</xdr:row>
      <xdr:rowOff>158750</xdr:rowOff>
    </xdr:from>
    <xdr:to>
      <xdr:col>3</xdr:col>
      <xdr:colOff>355600</xdr:colOff>
      <xdr:row>2</xdr:row>
      <xdr:rowOff>136525</xdr:rowOff>
    </xdr:to>
    <xdr:sp macro="" textlink="">
      <xdr:nvSpPr>
        <xdr:cNvPr id="4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55626" y="317500"/>
          <a:ext cx="847724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18</xdr:col>
      <xdr:colOff>1001713</xdr:colOff>
      <xdr:row>1</xdr:row>
      <xdr:rowOff>263525</xdr:rowOff>
    </xdr:from>
    <xdr:to>
      <xdr:col>19</xdr:col>
      <xdr:colOff>769937</xdr:colOff>
      <xdr:row>3</xdr:row>
      <xdr:rowOff>11112</xdr:rowOff>
    </xdr:to>
    <xdr:sp macro="" textlink="">
      <xdr:nvSpPr>
        <xdr:cNvPr id="5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4233526" y="422275"/>
          <a:ext cx="847724" cy="295275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8</xdr:row>
      <xdr:rowOff>28573</xdr:rowOff>
    </xdr:from>
    <xdr:to>
      <xdr:col>1</xdr:col>
      <xdr:colOff>1009649</xdr:colOff>
      <xdr:row>8</xdr:row>
      <xdr:rowOff>361950</xdr:rowOff>
    </xdr:to>
    <xdr:sp macro="" textlink="">
      <xdr:nvSpPr>
        <xdr:cNvPr id="4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09574" y="2076448"/>
          <a:ext cx="847725" cy="333377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>
    <xdr:from>
      <xdr:col>6</xdr:col>
      <xdr:colOff>809624</xdr:colOff>
      <xdr:row>8</xdr:row>
      <xdr:rowOff>19048</xdr:rowOff>
    </xdr:from>
    <xdr:to>
      <xdr:col>6</xdr:col>
      <xdr:colOff>1657349</xdr:colOff>
      <xdr:row>8</xdr:row>
      <xdr:rowOff>381000</xdr:rowOff>
    </xdr:to>
    <xdr:sp macro="" textlink="">
      <xdr:nvSpPr>
        <xdr:cNvPr id="5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1201399" y="2066923"/>
          <a:ext cx="847725" cy="361952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  <xdr:twoCellAnchor editAs="oneCell">
    <xdr:from>
      <xdr:col>1</xdr:col>
      <xdr:colOff>200025</xdr:colOff>
      <xdr:row>2</xdr:row>
      <xdr:rowOff>0</xdr:rowOff>
    </xdr:from>
    <xdr:to>
      <xdr:col>1</xdr:col>
      <xdr:colOff>2104370</xdr:colOff>
      <xdr:row>5</xdr:row>
      <xdr:rowOff>136218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675" y="381000"/>
          <a:ext cx="1904345" cy="6315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1</xdr:row>
      <xdr:rowOff>95248</xdr:rowOff>
    </xdr:from>
    <xdr:to>
      <xdr:col>1</xdr:col>
      <xdr:colOff>1076324</xdr:colOff>
      <xdr:row>2</xdr:row>
      <xdr:rowOff>66674</xdr:rowOff>
    </xdr:to>
    <xdr:sp macro="" textlink="">
      <xdr:nvSpPr>
        <xdr:cNvPr id="2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476249" y="161923"/>
          <a:ext cx="847725" cy="285751"/>
        </a:xfrm>
        <a:prstGeom prst="roundRect">
          <a:avLst/>
        </a:prstGeom>
        <a:solidFill>
          <a:srgbClr val="C00000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400" b="1">
              <a:solidFill>
                <a:srgbClr val="FFFFFF"/>
              </a:solidFill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50800</xdr:rowOff>
    </xdr:from>
    <xdr:to>
      <xdr:col>1</xdr:col>
      <xdr:colOff>574675</xdr:colOff>
      <xdr:row>0</xdr:row>
      <xdr:rowOff>304800</xdr:rowOff>
    </xdr:to>
    <xdr:sp macro="" textlink="">
      <xdr:nvSpPr>
        <xdr:cNvPr id="3" name="Rounded Rectangle 2_ContentButt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0800" y="50800"/>
          <a:ext cx="762000" cy="254000"/>
        </a:xfrm>
        <a:prstGeom prst="roundRect">
          <a:avLst/>
        </a:prstGeom>
        <a:solidFill>
          <a:srgbClr val="80808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s-ES" sz="1000" b="1">
              <a:solidFill>
                <a:srgbClr val="FFFFFF"/>
              </a:solidFill>
            </a:rPr>
            <a:t>Contents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B47:T54" totalsRowCount="1" headerRowDxfId="110" dataDxfId="108" totalsRowDxfId="106" headerRowBorderDxfId="109" tableBorderDxfId="107" totalsRowBorderDxfId="105">
  <autoFilter ref="B47:T53" xr:uid="{00000000-0009-0000-0100-000004000000}"/>
  <tableColumns count="19">
    <tableColumn id="1" xr3:uid="{00000000-0010-0000-0000-000001000000}" name="Column1" totalsRowFunction="count" dataDxfId="104" totalsRowDxfId="103"/>
    <tableColumn id="2" xr3:uid="{00000000-0010-0000-0000-000002000000}" name="Column2" dataDxfId="102" totalsRowDxfId="101"/>
    <tableColumn id="3" xr3:uid="{00000000-0010-0000-0000-000003000000}" name="Column3" dataDxfId="100" totalsRowDxfId="99"/>
    <tableColumn id="4" xr3:uid="{00000000-0010-0000-0000-000004000000}" name="Column4" dataDxfId="98" totalsRowDxfId="97"/>
    <tableColumn id="5" xr3:uid="{00000000-0010-0000-0000-000005000000}" name="Column5" totalsRowLabel="SUBTOTAL EDIFICIOS PROPIOS G.E.S. - FISCALIA" dataDxfId="96" totalsRowDxfId="95"/>
    <tableColumn id="6" xr3:uid="{00000000-0010-0000-0000-000006000000}" name="Column6" totalsRowLabel="SP 3.2" dataDxfId="94" totalsRowDxfId="93"/>
    <tableColumn id="7" xr3:uid="{00000000-0010-0000-0000-000007000000}" name="Column7" dataDxfId="92" totalsRowDxfId="91"/>
    <tableColumn id="8" xr3:uid="{00000000-0010-0000-0000-000008000000}" name="Column8" totalsRowFunction="sum" dataDxfId="90" totalsRowDxfId="89"/>
    <tableColumn id="9" xr3:uid="{00000000-0010-0000-0000-000009000000}" name="Column9" totalsRowFunction="sum" dataDxfId="88" totalsRowDxfId="87"/>
    <tableColumn id="10" xr3:uid="{00000000-0010-0000-0000-00000A000000}" name="Column10" totalsRowFunction="sum" dataDxfId="86" totalsRowDxfId="85">
      <calculatedColumnFormula>+I48+J48</calculatedColumnFormula>
    </tableColumn>
    <tableColumn id="11" xr3:uid="{00000000-0010-0000-0000-00000B000000}" name="Column11" totalsRowFunction="sum" dataDxfId="84" totalsRowDxfId="83"/>
    <tableColumn id="12" xr3:uid="{00000000-0010-0000-0000-00000C000000}" name="Column12" totalsRowFunction="sum" dataDxfId="82" totalsRowDxfId="81">
      <calculatedColumnFormula>(I48+J48)*5%</calculatedColumnFormula>
    </tableColumn>
    <tableColumn id="13" xr3:uid="{00000000-0010-0000-0000-00000D000000}" name="Column13" totalsRowFunction="sum" dataDxfId="80" totalsRowDxfId="79"/>
    <tableColumn id="14" xr3:uid="{00000000-0010-0000-0000-00000E000000}" name="Column14" totalsRowFunction="sum" dataDxfId="78" totalsRowDxfId="77"/>
    <tableColumn id="15" xr3:uid="{00000000-0010-0000-0000-00000F000000}" name="Column15" totalsRowFunction="sum" dataDxfId="76" totalsRowDxfId="75"/>
    <tableColumn id="16" xr3:uid="{00000000-0010-0000-0000-000010000000}" name="Column16" totalsRowFunction="sum" dataDxfId="74" totalsRowDxfId="73"/>
    <tableColumn id="17" xr3:uid="{00000000-0010-0000-0000-000011000000}" name="Column17" totalsRowFunction="sum" dataDxfId="72" totalsRowDxfId="71"/>
    <tableColumn id="18" xr3:uid="{00000000-0010-0000-0000-000012000000}" name="Column18" totalsRowFunction="sum" dataDxfId="70" totalsRowDxfId="69"/>
    <tableColumn id="19" xr3:uid="{00000000-0010-0000-0000-000013000000}" name="Column19" totalsRowFunction="sum" dataDxfId="68" totalsRowDxfId="67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3:T126" totalsRowCount="1" headerRowDxfId="66" dataDxfId="64" headerRowBorderDxfId="65" tableBorderDxfId="63">
  <tableColumns count="19">
    <tableColumn id="1" xr3:uid="{00000000-0010-0000-0100-000001000000}" name="No" totalsRowFunction="custom" dataDxfId="62" totalsRowDxfId="61">
      <totalsRowFormula>+B125</totalsRowFormula>
    </tableColumn>
    <tableColumn id="2" xr3:uid="{00000000-0010-0000-0100-000002000000}" name="TIPO" dataDxfId="60" totalsRowDxfId="59"/>
    <tableColumn id="3" xr3:uid="{00000000-0010-0000-0100-000003000000}" name="ETIQUETA" dataDxfId="58" totalsRowDxfId="57"/>
    <tableColumn id="4" xr3:uid="{00000000-0010-0000-0100-000004000000}" name="DESCRIPCIÓN" dataDxfId="56" totalsRowDxfId="55"/>
    <tableColumn id="5" xr3:uid="{00000000-0010-0000-0100-000005000000}" name="DOMICILIO" dataDxfId="54" totalsRowDxfId="53"/>
    <tableColumn id="6" xr3:uid="{00000000-0010-0000-0100-000006000000}" name="CODIGO POSTAL" totalsRowLabel="SP 3.3" dataDxfId="52" totalsRowDxfId="51"/>
    <tableColumn id="7" xr3:uid="{00000000-0010-0000-0100-000007000000}" name="MUNICIPIO" dataDxfId="50" totalsRowDxfId="49"/>
    <tableColumn id="8" xr3:uid="{00000000-0010-0000-0100-000008000000}" name="VALOR _x000a_EDIFICIO" dataDxfId="48" totalsRowDxfId="47"/>
    <tableColumn id="9" xr3:uid="{00000000-0010-0000-0100-000009000000}" name="VALOR CONTENIDOS" totalsRowFunction="sum" dataDxfId="46" totalsRowDxfId="45"/>
    <tableColumn id="10" xr3:uid="{00000000-0010-0000-0100-00000A000000}" name="EDIFICIOS +_x000a_CONTENIDOS" totalsRowFunction="sum" dataDxfId="44" totalsRowDxfId="43">
      <calculatedColumnFormula>+I4+J4</calculatedColumnFormula>
    </tableColumn>
    <tableColumn id="11" xr3:uid="{00000000-0010-0000-0100-00000B000000}" name="CONVENIO EXPRESO PARA FHM" totalsRowFunction="sum" dataDxfId="42" totalsRowDxfId="41"/>
    <tableColumn id="12" xr3:uid="{00000000-0010-0000-0100-00000C000000}" name="REMOCIÓN DE_x000a_ESCOMBROS" totalsRowFunction="sum" dataDxfId="40" totalsRowDxfId="39">
      <calculatedColumnFormula>(I4+J4)*5%</calculatedColumnFormula>
    </tableColumn>
    <tableColumn id="13" xr3:uid="{00000000-0010-0000-0100-00000D000000}" name="R.C. ACTIV. _x000a_E INMUEBLES" totalsRowFunction="sum" dataDxfId="38" totalsRowDxfId="37"/>
    <tableColumn id="14" xr3:uid="{00000000-0010-0000-0100-00000E000000}" name="R.C. ARRENDATARIO" totalsRowFunction="sum" dataDxfId="36" totalsRowDxfId="35"/>
    <tableColumn id="15" xr3:uid="{00000000-0010-0000-0100-00000F000000}" name="ROBO DE _x000a_CONTENIDOS" totalsRowFunction="sum" dataDxfId="34" totalsRowDxfId="33"/>
    <tableColumn id="16" xr3:uid="{00000000-0010-0000-0100-000010000000}" name="DINERO Y _x000a_VALORES" totalsRowFunction="sum" dataDxfId="32" totalsRowDxfId="31"/>
    <tableColumn id="17" xr3:uid="{00000000-0010-0000-0100-000011000000}" name="CRISTALES" totalsRowFunction="sum" dataDxfId="30" totalsRowDxfId="29"/>
    <tableColumn id="18" xr3:uid="{00000000-0010-0000-0100-000012000000}" name="EQUIPO _x000a_ELECTRÓNICO" totalsRowFunction="sum" dataDxfId="28" totalsRowDxfId="27"/>
    <tableColumn id="19" xr3:uid="{00000000-0010-0000-0100-000013000000}" name="ROTURA DE _x000a_MAQUINARIA" totalsRowFunction="sum" dataDxfId="26" totalsRowDxfId="2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  <pageSetUpPr fitToPage="1"/>
  </sheetPr>
  <dimension ref="B1:D16"/>
  <sheetViews>
    <sheetView tabSelected="1" workbookViewId="0">
      <selection activeCell="K14" sqref="K14"/>
    </sheetView>
  </sheetViews>
  <sheetFormatPr baseColWidth="10" defaultColWidth="9.140625" defaultRowHeight="15.75" x14ac:dyDescent="0.25"/>
  <cols>
    <col min="1" max="1" width="3.5703125" style="303" customWidth="1"/>
    <col min="2" max="2" width="25.5703125" style="303" customWidth="1"/>
    <col min="3" max="3" width="10.5703125" style="304" customWidth="1"/>
    <col min="4" max="4" width="81.7109375" style="303" customWidth="1"/>
    <col min="5" max="16384" width="9.140625" style="303"/>
  </cols>
  <sheetData>
    <row r="1" spans="2:4" ht="9" customHeight="1" x14ac:dyDescent="0.25"/>
    <row r="2" spans="2:4" ht="28.5" customHeight="1" x14ac:dyDescent="0.4">
      <c r="B2" s="492" t="s">
        <v>583</v>
      </c>
      <c r="C2" s="305"/>
      <c r="D2" s="305"/>
    </row>
    <row r="3" spans="2:4" ht="18.75" customHeight="1" x14ac:dyDescent="0.35">
      <c r="B3" s="486" t="s">
        <v>584</v>
      </c>
      <c r="C3" s="305"/>
      <c r="D3" s="305"/>
    </row>
    <row r="4" spans="2:4" ht="18" customHeight="1" x14ac:dyDescent="0.3">
      <c r="B4" s="485" t="s">
        <v>585</v>
      </c>
      <c r="C4" s="305"/>
      <c r="D4" s="305"/>
    </row>
    <row r="5" spans="2:4" ht="4.5" customHeight="1" x14ac:dyDescent="0.25"/>
    <row r="6" spans="2:4" ht="27.75" customHeight="1" x14ac:dyDescent="0.35">
      <c r="B6" s="486" t="s">
        <v>719</v>
      </c>
      <c r="C6" s="305"/>
      <c r="D6" s="305"/>
    </row>
    <row r="7" spans="2:4" s="302" customFormat="1" ht="26.25" customHeight="1" x14ac:dyDescent="0.25">
      <c r="B7" s="494" t="s">
        <v>720</v>
      </c>
      <c r="C7" s="493"/>
      <c r="D7" s="493"/>
    </row>
    <row r="8" spans="2:4" ht="23.25" customHeight="1" x14ac:dyDescent="0.35">
      <c r="B8" s="512" t="s">
        <v>603</v>
      </c>
      <c r="C8" s="305"/>
      <c r="D8" s="305"/>
    </row>
    <row r="9" spans="2:4" ht="15" customHeight="1" x14ac:dyDescent="0.25"/>
    <row r="10" spans="2:4" ht="45.75" customHeight="1" x14ac:dyDescent="0.25">
      <c r="B10" s="497" t="s">
        <v>718</v>
      </c>
      <c r="C10" s="306"/>
      <c r="D10" s="306"/>
    </row>
    <row r="11" spans="2:4" ht="24" customHeight="1" thickBot="1" x14ac:dyDescent="0.3">
      <c r="C11" s="525"/>
    </row>
    <row r="12" spans="2:4" s="302" customFormat="1" ht="47.25" customHeight="1" x14ac:dyDescent="0.25">
      <c r="B12" s="618" t="s">
        <v>629</v>
      </c>
      <c r="C12" s="616">
        <v>3.1</v>
      </c>
      <c r="D12" s="612" t="s">
        <v>538</v>
      </c>
    </row>
    <row r="13" spans="2:4" s="302" customFormat="1" ht="47.25" customHeight="1" x14ac:dyDescent="0.25">
      <c r="B13" s="619" t="s">
        <v>629</v>
      </c>
      <c r="C13" s="620">
        <v>3.2</v>
      </c>
      <c r="D13" s="613" t="s">
        <v>722</v>
      </c>
    </row>
    <row r="14" spans="2:4" s="302" customFormat="1" ht="47.25" customHeight="1" x14ac:dyDescent="0.25">
      <c r="B14" s="617" t="s">
        <v>629</v>
      </c>
      <c r="C14" s="616">
        <v>3.3</v>
      </c>
      <c r="D14" s="614" t="s">
        <v>723</v>
      </c>
    </row>
    <row r="15" spans="2:4" s="302" customFormat="1" ht="47.25" customHeight="1" x14ac:dyDescent="0.25">
      <c r="B15" s="619" t="s">
        <v>629</v>
      </c>
      <c r="C15" s="620">
        <v>3.4</v>
      </c>
      <c r="D15" s="615" t="s">
        <v>621</v>
      </c>
    </row>
    <row r="16" spans="2:4" s="302" customFormat="1" ht="47.25" customHeight="1" thickBot="1" x14ac:dyDescent="0.3">
      <c r="B16" s="644" t="s">
        <v>641</v>
      </c>
      <c r="C16" s="645" t="s">
        <v>717</v>
      </c>
      <c r="D16" s="646" t="s">
        <v>622</v>
      </c>
    </row>
  </sheetData>
  <hyperlinks>
    <hyperlink ref="D12" location="'3.1 y 3.2 GES PROPIOS'!A1" display="EDIFICIOS PROPIOS GOBIERNO DEL ESTADO " xr:uid="{00000000-0004-0000-0000-000000000000}"/>
    <hyperlink ref="D13" location="'3.1 y 3.2 GES PROPIOS'!C42" display="EDIFICIOS FISCALÍA GENERAL DEL ESTADO" xr:uid="{00000000-0004-0000-0000-000001000000}"/>
    <hyperlink ref="D15" location="'3.4 FISCALIA'!A1" display=" EDIFICIOS FISCALÍA PROPIOS Y ARRENDADOS" xr:uid="{00000000-0004-0000-0000-000002000000}"/>
    <hyperlink ref="D16" location="'RESUMEN 2'!A1" display="CONCENTRADO DE SUMAS ASEGURADAS" xr:uid="{00000000-0004-0000-0000-000003000000}"/>
    <hyperlink ref="C16" location="'RESUMEN 2'!A1" display="'RESUMEN 2'!A1" xr:uid="{00000000-0004-0000-0000-000004000000}"/>
    <hyperlink ref="D14" location="'3.3 GES ARRENDADOS'!A1" display="EDIFICIOS GES EN ARRENDAMIENTO" xr:uid="{00000000-0004-0000-0000-000006000000}"/>
  </hyperlinks>
  <printOptions horizontalCentered="1"/>
  <pageMargins left="0.55000000000000004" right="0.57999999999999996" top="0.75" bottom="0.75" header="0.3" footer="0.3"/>
  <pageSetup scale="80" orientation="portrait" horizontalDpi="1440" verticalDpi="1440" r:id="rId1"/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C000"/>
    <pageSetUpPr fitToPage="1"/>
  </sheetPr>
  <dimension ref="B1:H29"/>
  <sheetViews>
    <sheetView showGridLines="0" workbookViewId="0">
      <selection activeCell="A15" sqref="A15:XFD17"/>
    </sheetView>
  </sheetViews>
  <sheetFormatPr baseColWidth="10" defaultColWidth="9.140625" defaultRowHeight="14.25" x14ac:dyDescent="0.2"/>
  <cols>
    <col min="1" max="1" width="3.7109375" style="204" customWidth="1"/>
    <col min="2" max="2" width="47.85546875" style="204" customWidth="1"/>
    <col min="3" max="5" width="27.5703125" style="205" customWidth="1"/>
    <col min="6" max="6" width="22.85546875" style="217" bestFit="1" customWidth="1"/>
    <col min="7" max="7" width="5.140625" style="204" customWidth="1"/>
    <col min="8" max="8" width="8" style="204" customWidth="1"/>
    <col min="9" max="9" width="10" style="204" customWidth="1"/>
    <col min="10" max="16384" width="9.140625" style="204"/>
  </cols>
  <sheetData>
    <row r="1" spans="2:8" ht="5.25" customHeight="1" x14ac:dyDescent="0.2"/>
    <row r="2" spans="2:8" ht="24.75" customHeight="1" x14ac:dyDescent="0.3">
      <c r="B2" s="368" t="s">
        <v>583</v>
      </c>
      <c r="C2" s="368"/>
      <c r="D2" s="368"/>
      <c r="E2" s="368"/>
      <c r="F2" s="368"/>
    </row>
    <row r="3" spans="2:8" ht="15.75" x14ac:dyDescent="0.25">
      <c r="B3" s="366" t="s">
        <v>584</v>
      </c>
      <c r="C3" s="364"/>
      <c r="D3" s="364"/>
      <c r="E3" s="364"/>
      <c r="F3" s="365"/>
    </row>
    <row r="4" spans="2:8" ht="15.75" customHeight="1" x14ac:dyDescent="0.25">
      <c r="B4" s="367" t="s">
        <v>585</v>
      </c>
      <c r="C4" s="364"/>
      <c r="D4" s="364"/>
      <c r="E4" s="364"/>
      <c r="F4" s="365"/>
    </row>
    <row r="5" spans="2:8" ht="5.25" customHeight="1" x14ac:dyDescent="0.25">
      <c r="B5" s="367"/>
      <c r="C5" s="364"/>
      <c r="D5" s="364"/>
      <c r="E5" s="364"/>
      <c r="F5" s="365"/>
    </row>
    <row r="6" spans="2:8" ht="15.75" x14ac:dyDescent="0.25">
      <c r="B6" s="366" t="s">
        <v>586</v>
      </c>
      <c r="C6" s="364"/>
      <c r="D6" s="364"/>
      <c r="E6" s="364"/>
      <c r="F6" s="365"/>
    </row>
    <row r="7" spans="2:8" s="206" customFormat="1" ht="26.25" customHeight="1" x14ac:dyDescent="0.25">
      <c r="B7" s="371" t="s">
        <v>587</v>
      </c>
      <c r="C7" s="369"/>
      <c r="D7" s="369"/>
      <c r="E7" s="369"/>
      <c r="F7" s="370"/>
    </row>
    <row r="8" spans="2:8" s="206" customFormat="1" ht="30.75" customHeight="1" x14ac:dyDescent="0.25">
      <c r="B8" s="373" t="s">
        <v>588</v>
      </c>
      <c r="C8" s="374"/>
      <c r="D8" s="374"/>
      <c r="E8" s="374"/>
      <c r="F8" s="375"/>
    </row>
    <row r="9" spans="2:8" ht="15" x14ac:dyDescent="0.25">
      <c r="B9" s="367"/>
      <c r="C9" s="364"/>
      <c r="D9" s="364"/>
      <c r="E9" s="364"/>
      <c r="F9" s="365"/>
    </row>
    <row r="10" spans="2:8" ht="6.75" hidden="1" customHeight="1" x14ac:dyDescent="0.2">
      <c r="B10" s="208"/>
      <c r="C10" s="207"/>
      <c r="D10" s="207"/>
      <c r="E10" s="207"/>
      <c r="F10" s="207"/>
    </row>
    <row r="11" spans="2:8" ht="26.25" customHeight="1" x14ac:dyDescent="0.2">
      <c r="B11" s="285" t="s">
        <v>541</v>
      </c>
      <c r="C11" s="224">
        <v>3.1</v>
      </c>
      <c r="D11" s="224">
        <v>3.2</v>
      </c>
      <c r="E11" s="224">
        <v>3.3</v>
      </c>
      <c r="F11" s="282"/>
    </row>
    <row r="12" spans="2:8" ht="40.5" customHeight="1" x14ac:dyDescent="0.2">
      <c r="B12" s="363" t="s">
        <v>37</v>
      </c>
      <c r="C12" s="250" t="s">
        <v>535</v>
      </c>
      <c r="D12" s="250" t="s">
        <v>536</v>
      </c>
      <c r="E12" s="250" t="s">
        <v>537</v>
      </c>
      <c r="F12" s="283" t="s">
        <v>142</v>
      </c>
    </row>
    <row r="13" spans="2:8" s="245" customFormat="1" ht="22.5" customHeight="1" thickBot="1" x14ac:dyDescent="0.3">
      <c r="B13" s="286" t="s">
        <v>540</v>
      </c>
      <c r="C13" s="244">
        <v>36</v>
      </c>
      <c r="D13" s="244">
        <v>6</v>
      </c>
      <c r="E13" s="244">
        <v>120</v>
      </c>
      <c r="F13" s="284"/>
    </row>
    <row r="14" spans="2:8" s="206" customFormat="1" ht="40.5" customHeight="1" x14ac:dyDescent="0.25">
      <c r="B14" s="301" t="s">
        <v>579</v>
      </c>
      <c r="C14" s="212">
        <v>1703039686.1862874</v>
      </c>
      <c r="D14" s="218">
        <v>75633657.619641453</v>
      </c>
      <c r="E14" s="287">
        <v>0</v>
      </c>
      <c r="F14" s="355">
        <v>1778673343.8059289</v>
      </c>
      <c r="G14" s="642">
        <v>712</v>
      </c>
      <c r="H14" s="638" t="s">
        <v>582</v>
      </c>
    </row>
    <row r="15" spans="2:8" s="206" customFormat="1" ht="23.25" customHeight="1" x14ac:dyDescent="0.25">
      <c r="B15" s="301"/>
      <c r="C15" s="212"/>
      <c r="D15" s="218"/>
      <c r="E15" s="380"/>
      <c r="F15" s="355"/>
      <c r="G15" s="642"/>
      <c r="H15" s="638"/>
    </row>
    <row r="16" spans="2:8" s="206" customFormat="1" ht="23.25" customHeight="1" x14ac:dyDescent="0.25">
      <c r="B16" s="301"/>
      <c r="C16" s="212"/>
      <c r="D16" s="218"/>
      <c r="E16" s="380"/>
      <c r="F16" s="355"/>
      <c r="G16" s="642"/>
      <c r="H16" s="638"/>
    </row>
    <row r="17" spans="2:8" s="206" customFormat="1" ht="23.25" customHeight="1" x14ac:dyDescent="0.25">
      <c r="B17" s="301"/>
      <c r="C17" s="212"/>
      <c r="D17" s="218"/>
      <c r="E17" s="380"/>
      <c r="F17" s="355"/>
      <c r="G17" s="642"/>
      <c r="H17" s="638"/>
    </row>
    <row r="18" spans="2:8" s="206" customFormat="1" ht="33.75" customHeight="1" x14ac:dyDescent="0.25">
      <c r="B18" s="209" t="s">
        <v>580</v>
      </c>
      <c r="C18" s="213">
        <v>401319599.01011246</v>
      </c>
      <c r="D18" s="219">
        <v>176441517.4407526</v>
      </c>
      <c r="E18" s="288">
        <v>112621740</v>
      </c>
      <c r="F18" s="356">
        <v>690382856.45086503</v>
      </c>
      <c r="G18" s="642"/>
      <c r="H18" s="639"/>
    </row>
    <row r="19" spans="2:8" s="206" customFormat="1" ht="36" customHeight="1" x14ac:dyDescent="0.25">
      <c r="B19" s="246" t="s">
        <v>542</v>
      </c>
      <c r="C19" s="214">
        <v>2100890129.1322715</v>
      </c>
      <c r="D19" s="220">
        <v>252075175.06039405</v>
      </c>
      <c r="E19" s="289">
        <v>112621740</v>
      </c>
      <c r="F19" s="357">
        <v>2465587044.1926656</v>
      </c>
      <c r="G19" s="362"/>
    </row>
    <row r="20" spans="2:8" s="206" customFormat="1" ht="36" customHeight="1" x14ac:dyDescent="0.25">
      <c r="B20" s="206" t="s">
        <v>575</v>
      </c>
      <c r="C20" s="212">
        <v>20000000</v>
      </c>
      <c r="D20" s="251" t="s">
        <v>124</v>
      </c>
      <c r="E20" s="297" t="s">
        <v>124</v>
      </c>
      <c r="F20" s="355">
        <f>SUM(C20:E20)</f>
        <v>20000000</v>
      </c>
    </row>
    <row r="21" spans="2:8" s="206" customFormat="1" ht="36" customHeight="1" x14ac:dyDescent="0.25">
      <c r="B21" s="299" t="s">
        <v>576</v>
      </c>
      <c r="C21" s="216">
        <v>105217964.25981997</v>
      </c>
      <c r="D21" s="221">
        <v>12603758.753019704</v>
      </c>
      <c r="E21" s="290">
        <v>5631087</v>
      </c>
      <c r="F21" s="358">
        <v>123452810.01283967</v>
      </c>
    </row>
    <row r="22" spans="2:8" s="206" customFormat="1" ht="36" customHeight="1" x14ac:dyDescent="0.25">
      <c r="B22" s="300" t="s">
        <v>577</v>
      </c>
      <c r="C22" s="215">
        <v>50000000</v>
      </c>
      <c r="D22" s="222" t="s">
        <v>124</v>
      </c>
      <c r="E22" s="298" t="s">
        <v>124</v>
      </c>
      <c r="F22" s="358">
        <v>50000000</v>
      </c>
    </row>
    <row r="23" spans="2:8" s="206" customFormat="1" ht="36" customHeight="1" x14ac:dyDescent="0.25">
      <c r="B23" s="210" t="s">
        <v>578</v>
      </c>
      <c r="C23" s="215">
        <v>20000000</v>
      </c>
      <c r="D23" s="222" t="s">
        <v>124</v>
      </c>
      <c r="E23" s="298" t="s">
        <v>124</v>
      </c>
      <c r="F23" s="358">
        <v>20000000</v>
      </c>
    </row>
    <row r="24" spans="2:8" s="206" customFormat="1" ht="36" customHeight="1" x14ac:dyDescent="0.25">
      <c r="B24" s="211" t="s">
        <v>529</v>
      </c>
      <c r="C24" s="215">
        <v>1500000</v>
      </c>
      <c r="D24" s="222" t="s">
        <v>124</v>
      </c>
      <c r="E24" s="298" t="s">
        <v>124</v>
      </c>
      <c r="F24" s="358">
        <v>1500000</v>
      </c>
    </row>
    <row r="25" spans="2:8" s="206" customFormat="1" ht="36" customHeight="1" x14ac:dyDescent="0.25">
      <c r="B25" s="211" t="s">
        <v>530</v>
      </c>
      <c r="C25" s="215">
        <v>500000</v>
      </c>
      <c r="D25" s="222" t="s">
        <v>124</v>
      </c>
      <c r="E25" s="298" t="s">
        <v>124</v>
      </c>
      <c r="F25" s="358">
        <v>500000</v>
      </c>
    </row>
    <row r="26" spans="2:8" s="206" customFormat="1" ht="36" customHeight="1" x14ac:dyDescent="0.25">
      <c r="B26" s="211" t="s">
        <v>483</v>
      </c>
      <c r="C26" s="215">
        <v>500000</v>
      </c>
      <c r="D26" s="222" t="s">
        <v>124</v>
      </c>
      <c r="E26" s="298" t="s">
        <v>124</v>
      </c>
      <c r="F26" s="358">
        <v>500000</v>
      </c>
    </row>
    <row r="27" spans="2:8" s="206" customFormat="1" ht="36" customHeight="1" x14ac:dyDescent="0.25">
      <c r="B27" s="211" t="s">
        <v>531</v>
      </c>
      <c r="C27" s="215">
        <v>90000000</v>
      </c>
      <c r="D27" s="223">
        <v>25344490.259999998</v>
      </c>
      <c r="E27" s="291">
        <v>0</v>
      </c>
      <c r="F27" s="358">
        <v>115344490.25999999</v>
      </c>
    </row>
    <row r="28" spans="2:8" s="206" customFormat="1" ht="36" customHeight="1" thickBot="1" x14ac:dyDescent="0.3">
      <c r="B28" s="247" t="s">
        <v>532</v>
      </c>
      <c r="C28" s="248">
        <v>7839846</v>
      </c>
      <c r="D28" s="249">
        <v>0</v>
      </c>
      <c r="E28" s="292">
        <v>0</v>
      </c>
      <c r="F28" s="359">
        <v>7839846</v>
      </c>
    </row>
    <row r="29" spans="2:8" ht="31.5" hidden="1" customHeight="1" x14ac:dyDescent="0.25">
      <c r="B29" s="281"/>
      <c r="C29" s="294">
        <f>SUM(C19:C28)</f>
        <v>2396447939.3920913</v>
      </c>
      <c r="D29" s="295">
        <f t="shared" ref="D29:E29" si="0">SUM(D19:D28)</f>
        <v>290023424.07341373</v>
      </c>
      <c r="E29" s="296">
        <f t="shared" si="0"/>
        <v>118252827</v>
      </c>
      <c r="F29" s="293">
        <f>SUM(F19:F28)</f>
        <v>2804724190.4655056</v>
      </c>
    </row>
  </sheetData>
  <mergeCells count="2">
    <mergeCell ref="G14:G18"/>
    <mergeCell ref="H14:H18"/>
  </mergeCells>
  <conditionalFormatting sqref="C14:E28">
    <cfRule type="cellIs" dxfId="4" priority="1" operator="equal">
      <formula>0</formula>
    </cfRule>
  </conditionalFormatting>
  <printOptions horizontalCentered="1" verticalCentered="1"/>
  <pageMargins left="0.8" right="0.31" top="0.35" bottom="0.35" header="0.3" footer="0.3"/>
  <pageSetup scale="74" orientation="landscape" horizontalDpi="1440" verticalDpi="1440" r:id="rId1"/>
  <customProperties>
    <customPr name="LastActive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>
    <tabColor theme="7" tint="0.59999389629810485"/>
  </sheetPr>
  <dimension ref="A1:S210"/>
  <sheetViews>
    <sheetView showGridLines="0" zoomScale="120" zoomScaleNormal="120" workbookViewId="0">
      <pane ySplit="2" topLeftCell="A138" activePane="bottomLeft" state="frozen"/>
      <selection pane="bottomLeft" activeCell="A165" sqref="A165:XFD172"/>
    </sheetView>
  </sheetViews>
  <sheetFormatPr baseColWidth="10" defaultColWidth="11.42578125" defaultRowHeight="12.75" x14ac:dyDescent="0.25"/>
  <cols>
    <col min="1" max="1" width="3.5703125" style="41" bestFit="1" customWidth="1"/>
    <col min="2" max="2" width="12" style="42" customWidth="1"/>
    <col min="3" max="3" width="18.85546875" style="42" customWidth="1"/>
    <col min="4" max="4" width="72.5703125" style="43" customWidth="1"/>
    <col min="5" max="5" width="51.7109375" style="42" customWidth="1"/>
    <col min="6" max="6" width="8" style="41" customWidth="1"/>
    <col min="7" max="7" width="28.42578125" style="42" bestFit="1" customWidth="1"/>
    <col min="8" max="8" width="17.140625" style="44" customWidth="1"/>
    <col min="9" max="10" width="17.140625" style="45" customWidth="1"/>
    <col min="11" max="20" width="17.140625" style="44" customWidth="1"/>
    <col min="21" max="16384" width="11.42578125" style="44"/>
  </cols>
  <sheetData>
    <row r="1" spans="1:19" ht="27.75" customHeight="1" x14ac:dyDescent="0.25">
      <c r="B1" s="172" t="s">
        <v>473</v>
      </c>
    </row>
    <row r="2" spans="1:19" s="1" customFormat="1" ht="38.25" customHeight="1" x14ac:dyDescent="0.25">
      <c r="A2" s="153" t="s">
        <v>198</v>
      </c>
      <c r="B2" s="153" t="s">
        <v>36</v>
      </c>
      <c r="C2" s="153" t="s">
        <v>53</v>
      </c>
      <c r="D2" s="153" t="s">
        <v>37</v>
      </c>
      <c r="E2" s="153" t="s">
        <v>38</v>
      </c>
      <c r="F2" s="153" t="s">
        <v>95</v>
      </c>
      <c r="G2" s="153" t="s">
        <v>39</v>
      </c>
      <c r="H2" s="154" t="s">
        <v>139</v>
      </c>
      <c r="I2" s="155" t="s">
        <v>114</v>
      </c>
      <c r="J2" s="155" t="s">
        <v>488</v>
      </c>
      <c r="K2" s="157" t="s">
        <v>115</v>
      </c>
      <c r="L2" s="156" t="s">
        <v>116</v>
      </c>
      <c r="M2" s="153" t="s">
        <v>489</v>
      </c>
      <c r="N2" s="153" t="s">
        <v>490</v>
      </c>
      <c r="O2" s="153" t="s">
        <v>119</v>
      </c>
      <c r="P2" s="153" t="s">
        <v>120</v>
      </c>
      <c r="Q2" s="153" t="s">
        <v>491</v>
      </c>
      <c r="R2" s="153" t="s">
        <v>122</v>
      </c>
      <c r="S2" s="153" t="s">
        <v>123</v>
      </c>
    </row>
    <row r="3" spans="1:19" s="1" customFormat="1" ht="25.5" customHeight="1" x14ac:dyDescent="0.25">
      <c r="A3" s="46"/>
      <c r="B3" s="621" t="s">
        <v>197</v>
      </c>
      <c r="C3" s="621"/>
      <c r="D3" s="159" t="s">
        <v>85</v>
      </c>
      <c r="E3" s="46"/>
      <c r="F3" s="46"/>
      <c r="G3" s="46"/>
      <c r="H3" s="47"/>
      <c r="I3" s="48"/>
      <c r="J3" s="48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50">
        <v>1</v>
      </c>
      <c r="B4" s="51" t="s">
        <v>55</v>
      </c>
      <c r="C4" s="51" t="s">
        <v>31</v>
      </c>
      <c r="D4" s="52" t="s">
        <v>8</v>
      </c>
      <c r="E4" s="51" t="s">
        <v>70</v>
      </c>
      <c r="F4" s="50">
        <v>80140</v>
      </c>
      <c r="G4" s="51" t="s">
        <v>40</v>
      </c>
      <c r="H4" s="53">
        <v>7673499</v>
      </c>
      <c r="I4" s="54">
        <f>H4*0.235649</f>
        <v>1808252.365851</v>
      </c>
      <c r="J4" s="54">
        <f>+H4+I4</f>
        <v>9481751.365851</v>
      </c>
      <c r="K4" s="55">
        <v>20000000</v>
      </c>
      <c r="L4" s="56">
        <f>(H4+I4)*5%</f>
        <v>474087.56829255004</v>
      </c>
      <c r="M4" s="163">
        <v>50000000</v>
      </c>
      <c r="N4" s="163">
        <v>20000000</v>
      </c>
      <c r="O4" s="163">
        <v>1500000</v>
      </c>
      <c r="P4" s="163">
        <v>500000</v>
      </c>
      <c r="Q4" s="163">
        <v>500000</v>
      </c>
      <c r="R4" s="57"/>
      <c r="S4" s="57"/>
    </row>
    <row r="5" spans="1:19" x14ac:dyDescent="0.25">
      <c r="A5" s="50">
        <v>2</v>
      </c>
      <c r="B5" s="51" t="s">
        <v>55</v>
      </c>
      <c r="C5" s="51" t="s">
        <v>31</v>
      </c>
      <c r="D5" s="52" t="s">
        <v>9</v>
      </c>
      <c r="E5" s="51" t="s">
        <v>71</v>
      </c>
      <c r="F5" s="50">
        <v>80363</v>
      </c>
      <c r="G5" s="51" t="s">
        <v>52</v>
      </c>
      <c r="H5" s="53">
        <v>4070298.8564059003</v>
      </c>
      <c r="I5" s="54">
        <f t="shared" ref="I5:I39" si="0">H5*0.235649</f>
        <v>959161.85521319404</v>
      </c>
      <c r="J5" s="54">
        <f t="shared" ref="J5:J39" si="1">+H5+I5</f>
        <v>5029460.711619094</v>
      </c>
      <c r="K5" s="58" t="s">
        <v>124</v>
      </c>
      <c r="L5" s="56">
        <f>(H5+I5)*5%</f>
        <v>251473.03558095472</v>
      </c>
      <c r="M5" s="59" t="s">
        <v>124</v>
      </c>
      <c r="N5" s="57"/>
      <c r="O5" s="59" t="s">
        <v>124</v>
      </c>
      <c r="P5" s="164" t="s">
        <v>124</v>
      </c>
      <c r="Q5" s="164" t="s">
        <v>124</v>
      </c>
      <c r="R5" s="57"/>
      <c r="S5" s="57"/>
    </row>
    <row r="6" spans="1:19" ht="12" customHeight="1" x14ac:dyDescent="0.25">
      <c r="A6" s="60">
        <v>3</v>
      </c>
      <c r="B6" s="61" t="s">
        <v>55</v>
      </c>
      <c r="C6" s="61" t="s">
        <v>31</v>
      </c>
      <c r="D6" s="61" t="s">
        <v>105</v>
      </c>
      <c r="E6" s="61" t="s">
        <v>106</v>
      </c>
      <c r="F6" s="60">
        <v>80054</v>
      </c>
      <c r="G6" s="61" t="s">
        <v>40</v>
      </c>
      <c r="H6" s="62">
        <v>80984932.799999997</v>
      </c>
      <c r="I6" s="54">
        <f t="shared" si="0"/>
        <v>19084018.429387201</v>
      </c>
      <c r="J6" s="54">
        <f t="shared" si="1"/>
        <v>100068951.22938719</v>
      </c>
      <c r="K6" s="58" t="s">
        <v>124</v>
      </c>
      <c r="L6" s="56">
        <f t="shared" ref="L6:L39" si="2">(H6+I6)*5%</f>
        <v>5003447.5614693603</v>
      </c>
      <c r="M6" s="59" t="s">
        <v>124</v>
      </c>
      <c r="N6" s="57"/>
      <c r="O6" s="59" t="s">
        <v>124</v>
      </c>
      <c r="P6" s="164" t="s">
        <v>124</v>
      </c>
      <c r="Q6" s="164" t="s">
        <v>124</v>
      </c>
      <c r="R6" s="57"/>
      <c r="S6" s="57"/>
    </row>
    <row r="7" spans="1:19" s="3" customFormat="1" x14ac:dyDescent="0.25">
      <c r="A7" s="50">
        <v>4</v>
      </c>
      <c r="B7" s="63" t="s">
        <v>55</v>
      </c>
      <c r="C7" s="63" t="s">
        <v>31</v>
      </c>
      <c r="D7" s="64" t="s">
        <v>6</v>
      </c>
      <c r="E7" s="63" t="s">
        <v>65</v>
      </c>
      <c r="F7" s="65">
        <v>80129</v>
      </c>
      <c r="G7" s="63" t="s">
        <v>40</v>
      </c>
      <c r="H7" s="53">
        <v>9164696.4000000004</v>
      </c>
      <c r="I7" s="54">
        <f t="shared" si="0"/>
        <v>2159651.5419636001</v>
      </c>
      <c r="J7" s="54">
        <f t="shared" si="1"/>
        <v>11324347.9419636</v>
      </c>
      <c r="K7" s="58" t="s">
        <v>124</v>
      </c>
      <c r="L7" s="56">
        <f t="shared" si="2"/>
        <v>566217.39709818002</v>
      </c>
      <c r="M7" s="59" t="s">
        <v>124</v>
      </c>
      <c r="N7" s="57"/>
      <c r="O7" s="59" t="s">
        <v>124</v>
      </c>
      <c r="P7" s="164" t="s">
        <v>124</v>
      </c>
      <c r="Q7" s="164" t="s">
        <v>124</v>
      </c>
      <c r="R7" s="57"/>
      <c r="S7" s="57"/>
    </row>
    <row r="8" spans="1:19" s="2" customFormat="1" ht="15" customHeight="1" x14ac:dyDescent="0.2">
      <c r="A8" s="50">
        <v>5</v>
      </c>
      <c r="B8" s="66" t="s">
        <v>55</v>
      </c>
      <c r="C8" s="66" t="s">
        <v>32</v>
      </c>
      <c r="D8" s="61" t="s">
        <v>54</v>
      </c>
      <c r="E8" s="66" t="s">
        <v>63</v>
      </c>
      <c r="F8" s="67">
        <v>80130</v>
      </c>
      <c r="G8" s="66" t="s">
        <v>40</v>
      </c>
      <c r="H8" s="53">
        <v>75110455.200000003</v>
      </c>
      <c r="I8" s="54">
        <f t="shared" si="0"/>
        <v>17699703.6574248</v>
      </c>
      <c r="J8" s="54">
        <f t="shared" si="1"/>
        <v>92810158.857424796</v>
      </c>
      <c r="K8" s="58" t="s">
        <v>124</v>
      </c>
      <c r="L8" s="56">
        <f t="shared" si="2"/>
        <v>4640507.94287124</v>
      </c>
      <c r="M8" s="59" t="s">
        <v>124</v>
      </c>
      <c r="N8" s="57"/>
      <c r="O8" s="59" t="s">
        <v>124</v>
      </c>
      <c r="P8" s="164" t="s">
        <v>124</v>
      </c>
      <c r="Q8" s="164" t="s">
        <v>124</v>
      </c>
      <c r="R8" s="57"/>
      <c r="S8" s="57"/>
    </row>
    <row r="9" spans="1:19" x14ac:dyDescent="0.25">
      <c r="A9" s="60">
        <v>6</v>
      </c>
      <c r="B9" s="51" t="s">
        <v>55</v>
      </c>
      <c r="C9" s="51" t="s">
        <v>32</v>
      </c>
      <c r="D9" s="68" t="s">
        <v>30</v>
      </c>
      <c r="E9" s="51" t="s">
        <v>66</v>
      </c>
      <c r="F9" s="50">
        <v>80000</v>
      </c>
      <c r="G9" s="51" t="s">
        <v>40</v>
      </c>
      <c r="H9" s="53">
        <v>4748344.2</v>
      </c>
      <c r="I9" s="54">
        <f t="shared" si="0"/>
        <v>1118942.5623858001</v>
      </c>
      <c r="J9" s="54">
        <f t="shared" si="1"/>
        <v>5867286.7623858005</v>
      </c>
      <c r="K9" s="58" t="s">
        <v>124</v>
      </c>
      <c r="L9" s="56">
        <f t="shared" si="2"/>
        <v>293364.33811929001</v>
      </c>
      <c r="M9" s="59" t="s">
        <v>124</v>
      </c>
      <c r="N9" s="57"/>
      <c r="O9" s="59" t="s">
        <v>124</v>
      </c>
      <c r="P9" s="164" t="s">
        <v>124</v>
      </c>
      <c r="Q9" s="164" t="s">
        <v>124</v>
      </c>
      <c r="R9" s="57"/>
      <c r="S9" s="57"/>
    </row>
    <row r="10" spans="1:19" s="2" customFormat="1" ht="14.25" customHeight="1" x14ac:dyDescent="0.2">
      <c r="A10" s="50">
        <v>7</v>
      </c>
      <c r="B10" s="66" t="s">
        <v>55</v>
      </c>
      <c r="C10" s="66" t="s">
        <v>32</v>
      </c>
      <c r="D10" s="61" t="s">
        <v>138</v>
      </c>
      <c r="E10" s="61" t="s">
        <v>64</v>
      </c>
      <c r="F10" s="60">
        <v>80130</v>
      </c>
      <c r="G10" s="61" t="s">
        <v>40</v>
      </c>
      <c r="H10" s="53">
        <v>22096946.314080004</v>
      </c>
      <c r="I10" s="54">
        <f t="shared" si="0"/>
        <v>5207123.3019666383</v>
      </c>
      <c r="J10" s="54">
        <f t="shared" si="1"/>
        <v>27304069.616046641</v>
      </c>
      <c r="K10" s="69" t="s">
        <v>124</v>
      </c>
      <c r="L10" s="56">
        <f t="shared" si="2"/>
        <v>1365203.4808023321</v>
      </c>
      <c r="M10" s="70" t="s">
        <v>124</v>
      </c>
      <c r="N10" s="71"/>
      <c r="O10" s="72" t="s">
        <v>124</v>
      </c>
      <c r="P10" s="165" t="s">
        <v>124</v>
      </c>
      <c r="Q10" s="165" t="s">
        <v>124</v>
      </c>
      <c r="R10" s="73"/>
      <c r="S10" s="73"/>
    </row>
    <row r="11" spans="1:19" x14ac:dyDescent="0.25">
      <c r="A11" s="50">
        <v>8</v>
      </c>
      <c r="B11" s="51" t="s">
        <v>55</v>
      </c>
      <c r="C11" s="51" t="s">
        <v>32</v>
      </c>
      <c r="D11" s="52" t="s">
        <v>86</v>
      </c>
      <c r="E11" s="74" t="s">
        <v>69</v>
      </c>
      <c r="F11" s="75">
        <v>80308</v>
      </c>
      <c r="G11" s="74" t="s">
        <v>40</v>
      </c>
      <c r="H11" s="53">
        <v>108894330</v>
      </c>
      <c r="I11" s="54">
        <f t="shared" si="0"/>
        <v>25660839.970169999</v>
      </c>
      <c r="J11" s="54">
        <f t="shared" si="1"/>
        <v>134555169.97016999</v>
      </c>
      <c r="K11" s="58" t="s">
        <v>124</v>
      </c>
      <c r="L11" s="56">
        <f t="shared" si="2"/>
        <v>6727758.4985084999</v>
      </c>
      <c r="M11" s="76" t="s">
        <v>124</v>
      </c>
      <c r="N11" s="77"/>
      <c r="O11" s="59" t="s">
        <v>124</v>
      </c>
      <c r="P11" s="164" t="s">
        <v>124</v>
      </c>
      <c r="Q11" s="164" t="s">
        <v>124</v>
      </c>
      <c r="R11" s="57"/>
      <c r="S11" s="57"/>
    </row>
    <row r="12" spans="1:19" x14ac:dyDescent="0.25">
      <c r="A12" s="60">
        <v>9</v>
      </c>
      <c r="B12" s="51" t="s">
        <v>55</v>
      </c>
      <c r="C12" s="51" t="s">
        <v>32</v>
      </c>
      <c r="D12" s="52" t="s">
        <v>87</v>
      </c>
      <c r="E12" s="74"/>
      <c r="F12" s="75">
        <v>82089</v>
      </c>
      <c r="G12" s="74" t="s">
        <v>41</v>
      </c>
      <c r="H12" s="53">
        <v>108894330</v>
      </c>
      <c r="I12" s="54">
        <f t="shared" si="0"/>
        <v>25660839.970169999</v>
      </c>
      <c r="J12" s="54">
        <f t="shared" si="1"/>
        <v>134555169.97016999</v>
      </c>
      <c r="K12" s="58" t="s">
        <v>124</v>
      </c>
      <c r="L12" s="56">
        <f t="shared" si="2"/>
        <v>6727758.4985084999</v>
      </c>
      <c r="M12" s="76" t="s">
        <v>124</v>
      </c>
      <c r="N12" s="78"/>
      <c r="O12" s="59" t="s">
        <v>124</v>
      </c>
      <c r="P12" s="164" t="s">
        <v>124</v>
      </c>
      <c r="Q12" s="164" t="s">
        <v>124</v>
      </c>
      <c r="R12" s="55">
        <v>30000000</v>
      </c>
      <c r="S12" s="57"/>
    </row>
    <row r="13" spans="1:19" x14ac:dyDescent="0.25">
      <c r="A13" s="50">
        <v>10</v>
      </c>
      <c r="B13" s="51" t="s">
        <v>55</v>
      </c>
      <c r="C13" s="51" t="s">
        <v>32</v>
      </c>
      <c r="D13" s="52" t="s">
        <v>90</v>
      </c>
      <c r="E13" s="74"/>
      <c r="F13" s="75">
        <v>81306</v>
      </c>
      <c r="G13" s="74" t="s">
        <v>34</v>
      </c>
      <c r="H13" s="53">
        <v>108894330</v>
      </c>
      <c r="I13" s="54">
        <f t="shared" si="0"/>
        <v>25660839.970169999</v>
      </c>
      <c r="J13" s="54">
        <f t="shared" si="1"/>
        <v>134555169.97016999</v>
      </c>
      <c r="K13" s="58" t="s">
        <v>124</v>
      </c>
      <c r="L13" s="56">
        <f t="shared" si="2"/>
        <v>6727758.4985084999</v>
      </c>
      <c r="M13" s="76" t="s">
        <v>124</v>
      </c>
      <c r="N13" s="78"/>
      <c r="O13" s="59" t="s">
        <v>124</v>
      </c>
      <c r="P13" s="164" t="s">
        <v>124</v>
      </c>
      <c r="Q13" s="164" t="s">
        <v>124</v>
      </c>
      <c r="R13" s="55">
        <v>30000000</v>
      </c>
      <c r="S13" s="57"/>
    </row>
    <row r="14" spans="1:19" x14ac:dyDescent="0.25">
      <c r="A14" s="50">
        <v>11</v>
      </c>
      <c r="B14" s="51" t="s">
        <v>55</v>
      </c>
      <c r="C14" s="51" t="s">
        <v>32</v>
      </c>
      <c r="D14" s="52" t="s">
        <v>94</v>
      </c>
      <c r="E14" s="74"/>
      <c r="F14" s="50">
        <v>81664</v>
      </c>
      <c r="G14" s="74" t="s">
        <v>35</v>
      </c>
      <c r="H14" s="53">
        <v>108894330</v>
      </c>
      <c r="I14" s="54">
        <f t="shared" si="0"/>
        <v>25660839.970169999</v>
      </c>
      <c r="J14" s="54">
        <f t="shared" si="1"/>
        <v>134555169.97016999</v>
      </c>
      <c r="K14" s="58" t="s">
        <v>124</v>
      </c>
      <c r="L14" s="56">
        <f t="shared" si="2"/>
        <v>6727758.4985084999</v>
      </c>
      <c r="M14" s="76" t="s">
        <v>124</v>
      </c>
      <c r="N14" s="78"/>
      <c r="O14" s="59" t="s">
        <v>124</v>
      </c>
      <c r="P14" s="164" t="s">
        <v>124</v>
      </c>
      <c r="Q14" s="164" t="s">
        <v>124</v>
      </c>
      <c r="R14" s="55">
        <v>30000000</v>
      </c>
      <c r="S14" s="57"/>
    </row>
    <row r="15" spans="1:19" x14ac:dyDescent="0.25">
      <c r="A15" s="60">
        <v>12</v>
      </c>
      <c r="B15" s="51" t="s">
        <v>55</v>
      </c>
      <c r="C15" s="51" t="s">
        <v>32</v>
      </c>
      <c r="D15" s="52" t="s">
        <v>91</v>
      </c>
      <c r="E15" s="74" t="s">
        <v>69</v>
      </c>
      <c r="F15" s="75">
        <v>80130</v>
      </c>
      <c r="G15" s="74" t="s">
        <v>5</v>
      </c>
      <c r="H15" s="53">
        <v>11184431</v>
      </c>
      <c r="I15" s="54">
        <f t="shared" si="0"/>
        <v>2635599.9807190001</v>
      </c>
      <c r="J15" s="54">
        <f t="shared" si="1"/>
        <v>13820030.980719</v>
      </c>
      <c r="K15" s="58" t="s">
        <v>124</v>
      </c>
      <c r="L15" s="56">
        <f t="shared" si="2"/>
        <v>691001.5490359501</v>
      </c>
      <c r="M15" s="76" t="s">
        <v>124</v>
      </c>
      <c r="N15" s="78"/>
      <c r="O15" s="59" t="s">
        <v>124</v>
      </c>
      <c r="P15" s="164" t="s">
        <v>124</v>
      </c>
      <c r="Q15" s="164" t="s">
        <v>124</v>
      </c>
      <c r="R15" s="57"/>
      <c r="S15" s="57"/>
    </row>
    <row r="16" spans="1:19" x14ac:dyDescent="0.25">
      <c r="A16" s="50">
        <v>13</v>
      </c>
      <c r="B16" s="51" t="s">
        <v>55</v>
      </c>
      <c r="C16" s="51" t="s">
        <v>33</v>
      </c>
      <c r="D16" s="52" t="s">
        <v>18</v>
      </c>
      <c r="E16" s="74" t="s">
        <v>80</v>
      </c>
      <c r="F16" s="75">
        <v>81600</v>
      </c>
      <c r="G16" s="74" t="s">
        <v>35</v>
      </c>
      <c r="H16" s="53">
        <v>5772020.80688</v>
      </c>
      <c r="I16" s="54">
        <f t="shared" si="0"/>
        <v>1360170.931120465</v>
      </c>
      <c r="J16" s="54">
        <f t="shared" si="1"/>
        <v>7132191.7380004656</v>
      </c>
      <c r="K16" s="58" t="s">
        <v>124</v>
      </c>
      <c r="L16" s="56">
        <f t="shared" si="2"/>
        <v>356609.58690002328</v>
      </c>
      <c r="M16" s="76" t="s">
        <v>124</v>
      </c>
      <c r="N16" s="78"/>
      <c r="O16" s="59" t="s">
        <v>124</v>
      </c>
      <c r="P16" s="164" t="s">
        <v>124</v>
      </c>
      <c r="Q16" s="164" t="s">
        <v>124</v>
      </c>
      <c r="R16" s="57"/>
      <c r="S16" s="57"/>
    </row>
    <row r="17" spans="1:19" x14ac:dyDescent="0.25">
      <c r="A17" s="50">
        <v>14</v>
      </c>
      <c r="B17" s="51" t="s">
        <v>55</v>
      </c>
      <c r="C17" s="51" t="s">
        <v>33</v>
      </c>
      <c r="D17" s="52" t="s">
        <v>7</v>
      </c>
      <c r="E17" s="74" t="s">
        <v>68</v>
      </c>
      <c r="F17" s="75">
        <v>80450</v>
      </c>
      <c r="G17" s="74" t="s">
        <v>42</v>
      </c>
      <c r="H17" s="53">
        <v>1017865</v>
      </c>
      <c r="I17" s="54">
        <f t="shared" si="0"/>
        <v>239858.869385</v>
      </c>
      <c r="J17" s="54">
        <f t="shared" si="1"/>
        <v>1257723.8693850001</v>
      </c>
      <c r="K17" s="58" t="s">
        <v>124</v>
      </c>
      <c r="L17" s="56">
        <f t="shared" si="2"/>
        <v>62886.193469250007</v>
      </c>
      <c r="M17" s="76" t="s">
        <v>124</v>
      </c>
      <c r="N17" s="78"/>
      <c r="O17" s="59" t="s">
        <v>124</v>
      </c>
      <c r="P17" s="164" t="s">
        <v>124</v>
      </c>
      <c r="Q17" s="164" t="s">
        <v>124</v>
      </c>
      <c r="R17" s="57"/>
      <c r="S17" s="57"/>
    </row>
    <row r="18" spans="1:19" x14ac:dyDescent="0.25">
      <c r="A18" s="60">
        <v>15</v>
      </c>
      <c r="B18" s="51" t="s">
        <v>55</v>
      </c>
      <c r="C18" s="51" t="s">
        <v>33</v>
      </c>
      <c r="D18" s="52" t="s">
        <v>13</v>
      </c>
      <c r="E18" s="74" t="s">
        <v>82</v>
      </c>
      <c r="F18" s="75">
        <v>82700</v>
      </c>
      <c r="G18" s="74" t="s">
        <v>43</v>
      </c>
      <c r="H18" s="53">
        <v>4967425</v>
      </c>
      <c r="I18" s="54">
        <f t="shared" si="0"/>
        <v>1170568.733825</v>
      </c>
      <c r="J18" s="54">
        <f t="shared" si="1"/>
        <v>6137993.733825</v>
      </c>
      <c r="K18" s="58" t="s">
        <v>124</v>
      </c>
      <c r="L18" s="56">
        <f t="shared" si="2"/>
        <v>306899.68669125001</v>
      </c>
      <c r="M18" s="76" t="s">
        <v>124</v>
      </c>
      <c r="N18" s="78"/>
      <c r="O18" s="59" t="s">
        <v>124</v>
      </c>
      <c r="P18" s="164" t="s">
        <v>124</v>
      </c>
      <c r="Q18" s="164" t="s">
        <v>124</v>
      </c>
      <c r="R18" s="57"/>
      <c r="S18" s="57"/>
    </row>
    <row r="19" spans="1:19" x14ac:dyDescent="0.25">
      <c r="A19" s="50">
        <v>16</v>
      </c>
      <c r="B19" s="51" t="s">
        <v>55</v>
      </c>
      <c r="C19" s="51" t="s">
        <v>33</v>
      </c>
      <c r="D19" s="52" t="s">
        <v>27</v>
      </c>
      <c r="E19" s="74" t="s">
        <v>81</v>
      </c>
      <c r="F19" s="75">
        <v>80500</v>
      </c>
      <c r="G19" s="74" t="s">
        <v>12</v>
      </c>
      <c r="H19" s="53">
        <v>3490209</v>
      </c>
      <c r="I19" s="54">
        <f t="shared" si="0"/>
        <v>822464.260641</v>
      </c>
      <c r="J19" s="54">
        <f t="shared" si="1"/>
        <v>4312673.2606410002</v>
      </c>
      <c r="K19" s="58" t="s">
        <v>124</v>
      </c>
      <c r="L19" s="56">
        <f t="shared" si="2"/>
        <v>215633.66303205001</v>
      </c>
      <c r="M19" s="76" t="s">
        <v>124</v>
      </c>
      <c r="N19" s="78"/>
      <c r="O19" s="59" t="s">
        <v>124</v>
      </c>
      <c r="P19" s="164" t="s">
        <v>124</v>
      </c>
      <c r="Q19" s="164" t="s">
        <v>124</v>
      </c>
      <c r="R19" s="57"/>
      <c r="S19" s="57"/>
    </row>
    <row r="20" spans="1:19" x14ac:dyDescent="0.25">
      <c r="A20" s="50">
        <v>17</v>
      </c>
      <c r="B20" s="51" t="s">
        <v>55</v>
      </c>
      <c r="C20" s="51" t="s">
        <v>33</v>
      </c>
      <c r="D20" s="52" t="s">
        <v>23</v>
      </c>
      <c r="E20" s="74" t="s">
        <v>57</v>
      </c>
      <c r="F20" s="75">
        <v>81700</v>
      </c>
      <c r="G20" s="74" t="s">
        <v>44</v>
      </c>
      <c r="H20" s="53">
        <v>3100500</v>
      </c>
      <c r="I20" s="54">
        <f t="shared" si="0"/>
        <v>730629.72450000001</v>
      </c>
      <c r="J20" s="54">
        <f t="shared" si="1"/>
        <v>3831129.7245</v>
      </c>
      <c r="K20" s="58" t="s">
        <v>124</v>
      </c>
      <c r="L20" s="56">
        <f t="shared" si="2"/>
        <v>191556.486225</v>
      </c>
      <c r="M20" s="76" t="s">
        <v>124</v>
      </c>
      <c r="N20" s="78"/>
      <c r="O20" s="59" t="s">
        <v>124</v>
      </c>
      <c r="P20" s="164" t="s">
        <v>124</v>
      </c>
      <c r="Q20" s="164" t="s">
        <v>124</v>
      </c>
      <c r="R20" s="57"/>
      <c r="S20" s="57"/>
    </row>
    <row r="21" spans="1:19" x14ac:dyDescent="0.25">
      <c r="A21" s="60">
        <v>18</v>
      </c>
      <c r="B21" s="51" t="s">
        <v>55</v>
      </c>
      <c r="C21" s="51" t="s">
        <v>33</v>
      </c>
      <c r="D21" s="52" t="s">
        <v>21</v>
      </c>
      <c r="E21" s="74" t="s">
        <v>76</v>
      </c>
      <c r="F21" s="75">
        <v>82600</v>
      </c>
      <c r="G21" s="74" t="s">
        <v>45</v>
      </c>
      <c r="H21" s="53">
        <v>3360942</v>
      </c>
      <c r="I21" s="54">
        <f t="shared" si="0"/>
        <v>792002.62135799997</v>
      </c>
      <c r="J21" s="54">
        <f t="shared" si="1"/>
        <v>4152944.6213579997</v>
      </c>
      <c r="K21" s="58" t="s">
        <v>124</v>
      </c>
      <c r="L21" s="56">
        <f t="shared" si="2"/>
        <v>207647.23106789999</v>
      </c>
      <c r="M21" s="76" t="s">
        <v>124</v>
      </c>
      <c r="N21" s="78"/>
      <c r="O21" s="59" t="s">
        <v>124</v>
      </c>
      <c r="P21" s="164" t="s">
        <v>124</v>
      </c>
      <c r="Q21" s="164" t="s">
        <v>124</v>
      </c>
      <c r="R21" s="57"/>
      <c r="S21" s="57"/>
    </row>
    <row r="22" spans="1:19" x14ac:dyDescent="0.25">
      <c r="A22" s="50">
        <v>19</v>
      </c>
      <c r="B22" s="51" t="s">
        <v>55</v>
      </c>
      <c r="C22" s="51" t="s">
        <v>33</v>
      </c>
      <c r="D22" s="52" t="s">
        <v>14</v>
      </c>
      <c r="E22" s="74" t="s">
        <v>72</v>
      </c>
      <c r="F22" s="75">
        <v>80700</v>
      </c>
      <c r="G22" s="74" t="s">
        <v>46</v>
      </c>
      <c r="H22" s="53">
        <v>9256862.9626439996</v>
      </c>
      <c r="I22" s="54">
        <f t="shared" si="0"/>
        <v>2181370.5002840958</v>
      </c>
      <c r="J22" s="54">
        <f t="shared" si="1"/>
        <v>11438233.462928096</v>
      </c>
      <c r="K22" s="58" t="s">
        <v>124</v>
      </c>
      <c r="L22" s="56">
        <f t="shared" si="2"/>
        <v>571911.67314640479</v>
      </c>
      <c r="M22" s="76" t="s">
        <v>124</v>
      </c>
      <c r="N22" s="78"/>
      <c r="O22" s="59" t="s">
        <v>124</v>
      </c>
      <c r="P22" s="164" t="s">
        <v>124</v>
      </c>
      <c r="Q22" s="164" t="s">
        <v>124</v>
      </c>
      <c r="R22" s="57"/>
      <c r="S22" s="57"/>
    </row>
    <row r="23" spans="1:19" x14ac:dyDescent="0.25">
      <c r="A23" s="50">
        <v>20</v>
      </c>
      <c r="B23" s="51" t="s">
        <v>55</v>
      </c>
      <c r="C23" s="51" t="s">
        <v>33</v>
      </c>
      <c r="D23" s="52" t="s">
        <v>17</v>
      </c>
      <c r="E23" s="74" t="s">
        <v>67</v>
      </c>
      <c r="F23" s="75">
        <v>80000</v>
      </c>
      <c r="G23" s="74" t="s">
        <v>40</v>
      </c>
      <c r="H23" s="53">
        <v>575816044.49227679</v>
      </c>
      <c r="I23" s="54">
        <f t="shared" si="0"/>
        <v>135690475.06856054</v>
      </c>
      <c r="J23" s="54">
        <f t="shared" si="1"/>
        <v>711506519.56083727</v>
      </c>
      <c r="K23" s="79" t="s">
        <v>124</v>
      </c>
      <c r="L23" s="56">
        <f t="shared" si="2"/>
        <v>35575325.978041865</v>
      </c>
      <c r="M23" s="80" t="s">
        <v>124</v>
      </c>
      <c r="N23" s="81"/>
      <c r="O23" s="82" t="s">
        <v>124</v>
      </c>
      <c r="P23" s="166" t="s">
        <v>124</v>
      </c>
      <c r="Q23" s="166" t="s">
        <v>124</v>
      </c>
      <c r="R23" s="83"/>
      <c r="S23" s="84">
        <v>7839846</v>
      </c>
    </row>
    <row r="24" spans="1:19" x14ac:dyDescent="0.25">
      <c r="A24" s="60">
        <v>21</v>
      </c>
      <c r="B24" s="51" t="s">
        <v>55</v>
      </c>
      <c r="C24" s="51" t="s">
        <v>33</v>
      </c>
      <c r="D24" s="52" t="s">
        <v>25</v>
      </c>
      <c r="E24" s="74" t="s">
        <v>77</v>
      </c>
      <c r="F24" s="75">
        <v>82400</v>
      </c>
      <c r="G24" s="74" t="s">
        <v>11</v>
      </c>
      <c r="H24" s="53">
        <v>6457721.4000000004</v>
      </c>
      <c r="I24" s="54">
        <f t="shared" si="0"/>
        <v>1521755.5901886001</v>
      </c>
      <c r="J24" s="54">
        <f t="shared" si="1"/>
        <v>7979476.9901886005</v>
      </c>
      <c r="K24" s="58" t="s">
        <v>124</v>
      </c>
      <c r="L24" s="56">
        <f t="shared" si="2"/>
        <v>398973.84950943006</v>
      </c>
      <c r="M24" s="76" t="s">
        <v>124</v>
      </c>
      <c r="N24" s="78"/>
      <c r="O24" s="59" t="s">
        <v>124</v>
      </c>
      <c r="P24" s="164" t="s">
        <v>124</v>
      </c>
      <c r="Q24" s="164" t="s">
        <v>124</v>
      </c>
      <c r="R24" s="57"/>
      <c r="S24" s="57"/>
    </row>
    <row r="25" spans="1:19" x14ac:dyDescent="0.25">
      <c r="A25" s="50">
        <v>22</v>
      </c>
      <c r="B25" s="51" t="s">
        <v>55</v>
      </c>
      <c r="C25" s="51" t="s">
        <v>33</v>
      </c>
      <c r="D25" s="52" t="s">
        <v>19</v>
      </c>
      <c r="E25" s="74" t="s">
        <v>78</v>
      </c>
      <c r="F25" s="75">
        <v>82400</v>
      </c>
      <c r="G25" s="74" t="s">
        <v>47</v>
      </c>
      <c r="H25" s="53">
        <v>6071733</v>
      </c>
      <c r="I25" s="54">
        <f t="shared" si="0"/>
        <v>1430797.809717</v>
      </c>
      <c r="J25" s="54">
        <f t="shared" si="1"/>
        <v>7502530.8097169995</v>
      </c>
      <c r="K25" s="58" t="s">
        <v>124</v>
      </c>
      <c r="L25" s="56">
        <f t="shared" si="2"/>
        <v>375126.54048585001</v>
      </c>
      <c r="M25" s="76" t="s">
        <v>124</v>
      </c>
      <c r="N25" s="78"/>
      <c r="O25" s="59" t="s">
        <v>124</v>
      </c>
      <c r="P25" s="164" t="s">
        <v>124</v>
      </c>
      <c r="Q25" s="164" t="s">
        <v>124</v>
      </c>
      <c r="R25" s="57"/>
      <c r="S25" s="57"/>
    </row>
    <row r="26" spans="1:19" x14ac:dyDescent="0.25">
      <c r="A26" s="50">
        <v>23</v>
      </c>
      <c r="B26" s="51" t="s">
        <v>55</v>
      </c>
      <c r="C26" s="51" t="s">
        <v>33</v>
      </c>
      <c r="D26" s="52" t="s">
        <v>15</v>
      </c>
      <c r="E26" s="74" t="s">
        <v>62</v>
      </c>
      <c r="F26" s="75">
        <v>81460</v>
      </c>
      <c r="G26" s="74" t="s">
        <v>48</v>
      </c>
      <c r="H26" s="53">
        <v>16809308.926599998</v>
      </c>
      <c r="I26" s="54">
        <f t="shared" si="0"/>
        <v>3961096.8392443629</v>
      </c>
      <c r="J26" s="54">
        <f t="shared" si="1"/>
        <v>20770405.76584436</v>
      </c>
      <c r="K26" s="58" t="s">
        <v>124</v>
      </c>
      <c r="L26" s="56">
        <f t="shared" si="2"/>
        <v>1038520.288292218</v>
      </c>
      <c r="M26" s="76" t="s">
        <v>124</v>
      </c>
      <c r="N26" s="78"/>
      <c r="O26" s="59" t="s">
        <v>124</v>
      </c>
      <c r="P26" s="164" t="s">
        <v>124</v>
      </c>
      <c r="Q26" s="164" t="s">
        <v>124</v>
      </c>
      <c r="R26" s="57"/>
      <c r="S26" s="57"/>
    </row>
    <row r="27" spans="1:19" x14ac:dyDescent="0.25">
      <c r="A27" s="60">
        <v>24</v>
      </c>
      <c r="B27" s="51" t="s">
        <v>55</v>
      </c>
      <c r="C27" s="51" t="s">
        <v>33</v>
      </c>
      <c r="D27" s="52" t="s">
        <v>24</v>
      </c>
      <c r="E27" s="74" t="s">
        <v>61</v>
      </c>
      <c r="F27" s="75">
        <v>81110</v>
      </c>
      <c r="G27" s="74" t="s">
        <v>4</v>
      </c>
      <c r="H27" s="53">
        <v>14946159.000000002</v>
      </c>
      <c r="I27" s="54">
        <f t="shared" si="0"/>
        <v>3522047.4221910005</v>
      </c>
      <c r="J27" s="54">
        <f t="shared" si="1"/>
        <v>18468206.422191001</v>
      </c>
      <c r="K27" s="58" t="s">
        <v>124</v>
      </c>
      <c r="L27" s="56">
        <f t="shared" si="2"/>
        <v>923410.32110955007</v>
      </c>
      <c r="M27" s="76" t="s">
        <v>124</v>
      </c>
      <c r="N27" s="78"/>
      <c r="O27" s="59" t="s">
        <v>124</v>
      </c>
      <c r="P27" s="164" t="s">
        <v>124</v>
      </c>
      <c r="Q27" s="164" t="s">
        <v>124</v>
      </c>
      <c r="R27" s="57"/>
      <c r="S27" s="57"/>
    </row>
    <row r="28" spans="1:19" x14ac:dyDescent="0.25">
      <c r="A28" s="50">
        <v>25</v>
      </c>
      <c r="B28" s="51" t="s">
        <v>55</v>
      </c>
      <c r="C28" s="51" t="s">
        <v>33</v>
      </c>
      <c r="D28" s="52" t="s">
        <v>26</v>
      </c>
      <c r="E28" s="74" t="s">
        <v>59</v>
      </c>
      <c r="F28" s="75">
        <v>81200</v>
      </c>
      <c r="G28" s="74" t="s">
        <v>2</v>
      </c>
      <c r="H28" s="53">
        <v>29282500</v>
      </c>
      <c r="I28" s="54">
        <f t="shared" si="0"/>
        <v>6900391.8425000003</v>
      </c>
      <c r="J28" s="54">
        <f t="shared" si="1"/>
        <v>36182891.842500001</v>
      </c>
      <c r="K28" s="58" t="s">
        <v>124</v>
      </c>
      <c r="L28" s="56">
        <f t="shared" si="2"/>
        <v>1809144.5921250002</v>
      </c>
      <c r="M28" s="76" t="s">
        <v>124</v>
      </c>
      <c r="N28" s="78"/>
      <c r="O28" s="59" t="s">
        <v>124</v>
      </c>
      <c r="P28" s="164" t="s">
        <v>124</v>
      </c>
      <c r="Q28" s="164" t="s">
        <v>124</v>
      </c>
      <c r="R28" s="57"/>
      <c r="S28" s="57"/>
    </row>
    <row r="29" spans="1:19" x14ac:dyDescent="0.25">
      <c r="A29" s="50">
        <v>26</v>
      </c>
      <c r="B29" s="51" t="s">
        <v>55</v>
      </c>
      <c r="C29" s="51" t="s">
        <v>33</v>
      </c>
      <c r="D29" s="52" t="s">
        <v>22</v>
      </c>
      <c r="E29" s="74" t="s">
        <v>74</v>
      </c>
      <c r="F29" s="75">
        <v>82017</v>
      </c>
      <c r="G29" s="74" t="s">
        <v>41</v>
      </c>
      <c r="H29" s="53">
        <v>23568570</v>
      </c>
      <c r="I29" s="54">
        <f t="shared" si="0"/>
        <v>5553909.9519299995</v>
      </c>
      <c r="J29" s="54">
        <f t="shared" si="1"/>
        <v>29122479.951930001</v>
      </c>
      <c r="K29" s="58" t="s">
        <v>124</v>
      </c>
      <c r="L29" s="56">
        <f t="shared" si="2"/>
        <v>1456123.9975965002</v>
      </c>
      <c r="M29" s="76" t="s">
        <v>124</v>
      </c>
      <c r="N29" s="78"/>
      <c r="O29" s="59" t="s">
        <v>124</v>
      </c>
      <c r="P29" s="164" t="s">
        <v>124</v>
      </c>
      <c r="Q29" s="164" t="s">
        <v>124</v>
      </c>
      <c r="R29" s="57"/>
      <c r="S29" s="57"/>
    </row>
    <row r="30" spans="1:19" x14ac:dyDescent="0.25">
      <c r="A30" s="60">
        <v>27</v>
      </c>
      <c r="B30" s="51" t="s">
        <v>55</v>
      </c>
      <c r="C30" s="51" t="s">
        <v>33</v>
      </c>
      <c r="D30" s="52" t="s">
        <v>16</v>
      </c>
      <c r="E30" s="74" t="s">
        <v>79</v>
      </c>
      <c r="F30" s="75">
        <v>80800</v>
      </c>
      <c r="G30" s="74" t="s">
        <v>49</v>
      </c>
      <c r="H30" s="53">
        <v>7209902.7000000002</v>
      </c>
      <c r="I30" s="54">
        <f t="shared" si="0"/>
        <v>1699006.3613523</v>
      </c>
      <c r="J30" s="54">
        <f t="shared" si="1"/>
        <v>8908909.0613522995</v>
      </c>
      <c r="K30" s="58" t="s">
        <v>124</v>
      </c>
      <c r="L30" s="56">
        <f t="shared" si="2"/>
        <v>445445.45306761499</v>
      </c>
      <c r="M30" s="76" t="s">
        <v>124</v>
      </c>
      <c r="N30" s="78"/>
      <c r="O30" s="59" t="s">
        <v>124</v>
      </c>
      <c r="P30" s="164" t="s">
        <v>124</v>
      </c>
      <c r="Q30" s="164" t="s">
        <v>124</v>
      </c>
      <c r="R30" s="57"/>
      <c r="S30" s="57"/>
    </row>
    <row r="31" spans="1:19" x14ac:dyDescent="0.25">
      <c r="A31" s="50">
        <v>28</v>
      </c>
      <c r="B31" s="51" t="s">
        <v>55</v>
      </c>
      <c r="C31" s="51" t="s">
        <v>33</v>
      </c>
      <c r="D31" s="52" t="s">
        <v>0</v>
      </c>
      <c r="E31" s="74" t="s">
        <v>73</v>
      </c>
      <c r="F31" s="75">
        <v>82910</v>
      </c>
      <c r="G31" s="74" t="s">
        <v>50</v>
      </c>
      <c r="H31" s="53">
        <v>2807557.8615994998</v>
      </c>
      <c r="I31" s="54">
        <f t="shared" si="0"/>
        <v>661598.20252806053</v>
      </c>
      <c r="J31" s="54">
        <f t="shared" si="1"/>
        <v>3469156.0641275602</v>
      </c>
      <c r="K31" s="58" t="s">
        <v>124</v>
      </c>
      <c r="L31" s="56">
        <f t="shared" si="2"/>
        <v>173457.80320637801</v>
      </c>
      <c r="M31" s="76" t="s">
        <v>124</v>
      </c>
      <c r="N31" s="78"/>
      <c r="O31" s="59" t="s">
        <v>124</v>
      </c>
      <c r="P31" s="164" t="s">
        <v>124</v>
      </c>
      <c r="Q31" s="164" t="s">
        <v>124</v>
      </c>
      <c r="R31" s="57"/>
      <c r="S31" s="57"/>
    </row>
    <row r="32" spans="1:19" x14ac:dyDescent="0.25">
      <c r="A32" s="50">
        <v>29</v>
      </c>
      <c r="B32" s="51" t="s">
        <v>55</v>
      </c>
      <c r="C32" s="51" t="s">
        <v>33</v>
      </c>
      <c r="D32" s="52" t="s">
        <v>20</v>
      </c>
      <c r="E32" s="74" t="s">
        <v>60</v>
      </c>
      <c r="F32" s="75">
        <v>81900</v>
      </c>
      <c r="G32" s="74" t="s">
        <v>51</v>
      </c>
      <c r="H32" s="53">
        <v>6395234.4000000004</v>
      </c>
      <c r="I32" s="54">
        <f t="shared" si="0"/>
        <v>1507030.5911256</v>
      </c>
      <c r="J32" s="54">
        <f t="shared" si="1"/>
        <v>7902264.9911256004</v>
      </c>
      <c r="K32" s="58" t="s">
        <v>124</v>
      </c>
      <c r="L32" s="56">
        <f t="shared" si="2"/>
        <v>395113.24955628003</v>
      </c>
      <c r="M32" s="76" t="s">
        <v>124</v>
      </c>
      <c r="N32" s="78"/>
      <c r="O32" s="59" t="s">
        <v>124</v>
      </c>
      <c r="P32" s="164" t="s">
        <v>124</v>
      </c>
      <c r="Q32" s="164" t="s">
        <v>124</v>
      </c>
      <c r="R32" s="57"/>
      <c r="S32" s="57"/>
    </row>
    <row r="33" spans="1:19" x14ac:dyDescent="0.25">
      <c r="A33" s="60">
        <v>30</v>
      </c>
      <c r="B33" s="51" t="s">
        <v>55</v>
      </c>
      <c r="C33" s="51" t="s">
        <v>107</v>
      </c>
      <c r="D33" s="52" t="s">
        <v>10</v>
      </c>
      <c r="E33" s="74" t="s">
        <v>75</v>
      </c>
      <c r="F33" s="75">
        <v>80308</v>
      </c>
      <c r="G33" s="74" t="s">
        <v>41</v>
      </c>
      <c r="H33" s="53">
        <v>9870800.8488500006</v>
      </c>
      <c r="I33" s="54">
        <f t="shared" si="0"/>
        <v>2326044.3492306536</v>
      </c>
      <c r="J33" s="54">
        <f t="shared" si="1"/>
        <v>12196845.198080655</v>
      </c>
      <c r="K33" s="79" t="s">
        <v>124</v>
      </c>
      <c r="L33" s="85">
        <f t="shared" si="2"/>
        <v>609842.25990403281</v>
      </c>
      <c r="M33" s="80" t="s">
        <v>124</v>
      </c>
      <c r="N33" s="81"/>
      <c r="O33" s="82" t="s">
        <v>124</v>
      </c>
      <c r="P33" s="166" t="s">
        <v>124</v>
      </c>
      <c r="Q33" s="166" t="s">
        <v>124</v>
      </c>
      <c r="R33" s="83"/>
      <c r="S33" s="83"/>
    </row>
    <row r="34" spans="1:19" s="3" customFormat="1" x14ac:dyDescent="0.25">
      <c r="A34" s="50">
        <v>31</v>
      </c>
      <c r="B34" s="63" t="s">
        <v>55</v>
      </c>
      <c r="C34" s="63" t="s">
        <v>110</v>
      </c>
      <c r="D34" s="64" t="s">
        <v>92</v>
      </c>
      <c r="E34" s="86" t="s">
        <v>56</v>
      </c>
      <c r="F34" s="87">
        <v>80308</v>
      </c>
      <c r="G34" s="86" t="s">
        <v>5</v>
      </c>
      <c r="H34" s="53">
        <v>65736347.004671201</v>
      </c>
      <c r="I34" s="54">
        <f t="shared" si="0"/>
        <v>15490704.435303764</v>
      </c>
      <c r="J34" s="54">
        <f t="shared" si="1"/>
        <v>81227051.439974964</v>
      </c>
      <c r="K34" s="58" t="s">
        <v>124</v>
      </c>
      <c r="L34" s="56">
        <f t="shared" si="2"/>
        <v>4061352.5719987485</v>
      </c>
      <c r="M34" s="76" t="s">
        <v>124</v>
      </c>
      <c r="N34" s="78"/>
      <c r="O34" s="59" t="s">
        <v>124</v>
      </c>
      <c r="P34" s="164" t="s">
        <v>124</v>
      </c>
      <c r="Q34" s="164" t="s">
        <v>124</v>
      </c>
      <c r="R34" s="57"/>
      <c r="S34" s="57"/>
    </row>
    <row r="35" spans="1:19" x14ac:dyDescent="0.25">
      <c r="A35" s="50">
        <v>32</v>
      </c>
      <c r="B35" s="51" t="s">
        <v>55</v>
      </c>
      <c r="C35" s="51" t="s">
        <v>29</v>
      </c>
      <c r="D35" s="64" t="s">
        <v>1</v>
      </c>
      <c r="E35" s="86" t="s">
        <v>88</v>
      </c>
      <c r="F35" s="75">
        <v>80100</v>
      </c>
      <c r="G35" s="74" t="s">
        <v>40</v>
      </c>
      <c r="H35" s="53">
        <v>121067032.11228</v>
      </c>
      <c r="I35" s="54">
        <f t="shared" si="0"/>
        <v>28529325.05022667</v>
      </c>
      <c r="J35" s="54">
        <f t="shared" si="1"/>
        <v>149596357.16250667</v>
      </c>
      <c r="K35" s="58" t="s">
        <v>124</v>
      </c>
      <c r="L35" s="56">
        <f t="shared" si="2"/>
        <v>7479817.8581253337</v>
      </c>
      <c r="M35" s="76" t="s">
        <v>124</v>
      </c>
      <c r="N35" s="78"/>
      <c r="O35" s="59" t="s">
        <v>124</v>
      </c>
      <c r="P35" s="164" t="s">
        <v>124</v>
      </c>
      <c r="Q35" s="164" t="s">
        <v>124</v>
      </c>
      <c r="R35" s="57"/>
      <c r="S35" s="57"/>
    </row>
    <row r="36" spans="1:19" x14ac:dyDescent="0.25">
      <c r="A36" s="60">
        <v>33</v>
      </c>
      <c r="B36" s="63" t="s">
        <v>55</v>
      </c>
      <c r="C36" s="63" t="s">
        <v>31</v>
      </c>
      <c r="D36" s="64" t="s">
        <v>98</v>
      </c>
      <c r="E36" s="86" t="s">
        <v>99</v>
      </c>
      <c r="F36" s="87">
        <v>3100</v>
      </c>
      <c r="G36" s="86" t="s">
        <v>100</v>
      </c>
      <c r="H36" s="53">
        <v>6032195</v>
      </c>
      <c r="I36" s="54">
        <f t="shared" si="0"/>
        <v>1421480.7195550001</v>
      </c>
      <c r="J36" s="54">
        <f t="shared" si="1"/>
        <v>7453675.7195549998</v>
      </c>
      <c r="K36" s="58" t="s">
        <v>124</v>
      </c>
      <c r="L36" s="56">
        <f t="shared" si="2"/>
        <v>372683.78597775003</v>
      </c>
      <c r="M36" s="76" t="s">
        <v>124</v>
      </c>
      <c r="N36" s="78"/>
      <c r="O36" s="59" t="s">
        <v>124</v>
      </c>
      <c r="P36" s="164" t="s">
        <v>124</v>
      </c>
      <c r="Q36" s="164" t="s">
        <v>124</v>
      </c>
      <c r="R36" s="57"/>
      <c r="S36" s="57"/>
    </row>
    <row r="37" spans="1:19" x14ac:dyDescent="0.25">
      <c r="A37" s="50">
        <v>34</v>
      </c>
      <c r="B37" s="63" t="s">
        <v>55</v>
      </c>
      <c r="C37" s="63" t="s">
        <v>31</v>
      </c>
      <c r="D37" s="64" t="s">
        <v>102</v>
      </c>
      <c r="E37" s="86" t="s">
        <v>103</v>
      </c>
      <c r="F37" s="87">
        <v>82010</v>
      </c>
      <c r="G37" s="86" t="s">
        <v>101</v>
      </c>
      <c r="H37" s="53">
        <v>3519560.4</v>
      </c>
      <c r="I37" s="54">
        <f t="shared" si="0"/>
        <v>829380.88869960001</v>
      </c>
      <c r="J37" s="54">
        <f t="shared" si="1"/>
        <v>4348941.2886995999</v>
      </c>
      <c r="K37" s="58" t="s">
        <v>124</v>
      </c>
      <c r="L37" s="56">
        <f t="shared" si="2"/>
        <v>217447.06443498001</v>
      </c>
      <c r="M37" s="76" t="s">
        <v>124</v>
      </c>
      <c r="N37" s="78"/>
      <c r="O37" s="59" t="s">
        <v>124</v>
      </c>
      <c r="P37" s="164" t="s">
        <v>124</v>
      </c>
      <c r="Q37" s="164" t="s">
        <v>124</v>
      </c>
      <c r="R37" s="57"/>
      <c r="S37" s="57"/>
    </row>
    <row r="38" spans="1:19" x14ac:dyDescent="0.25">
      <c r="A38" s="50">
        <v>35</v>
      </c>
      <c r="B38" s="63" t="s">
        <v>55</v>
      </c>
      <c r="C38" s="63" t="s">
        <v>31</v>
      </c>
      <c r="D38" s="64" t="s">
        <v>492</v>
      </c>
      <c r="E38" s="86" t="s">
        <v>104</v>
      </c>
      <c r="F38" s="87">
        <v>80020</v>
      </c>
      <c r="G38" s="86" t="s">
        <v>5</v>
      </c>
      <c r="H38" s="53">
        <v>119254054.50000001</v>
      </c>
      <c r="I38" s="54">
        <f t="shared" si="0"/>
        <v>28102098.688870504</v>
      </c>
      <c r="J38" s="54">
        <f t="shared" si="1"/>
        <v>147356153.18887052</v>
      </c>
      <c r="K38" s="58" t="s">
        <v>124</v>
      </c>
      <c r="L38" s="56">
        <f t="shared" si="2"/>
        <v>7367807.6594435265</v>
      </c>
      <c r="M38" s="76" t="s">
        <v>124</v>
      </c>
      <c r="N38" s="78"/>
      <c r="O38" s="59" t="s">
        <v>124</v>
      </c>
      <c r="P38" s="164" t="s">
        <v>124</v>
      </c>
      <c r="Q38" s="164" t="s">
        <v>124</v>
      </c>
      <c r="R38" s="57"/>
      <c r="S38" s="57"/>
    </row>
    <row r="39" spans="1:19" x14ac:dyDescent="0.25">
      <c r="A39" s="50">
        <v>36</v>
      </c>
      <c r="B39" s="51" t="s">
        <v>83</v>
      </c>
      <c r="C39" s="51" t="s">
        <v>109</v>
      </c>
      <c r="D39" s="68" t="s">
        <v>108</v>
      </c>
      <c r="E39" s="51"/>
      <c r="F39" s="50">
        <v>80027</v>
      </c>
      <c r="G39" s="51" t="s">
        <v>40</v>
      </c>
      <c r="H39" s="53">
        <v>6618215.9999999991</v>
      </c>
      <c r="I39" s="54">
        <f t="shared" si="0"/>
        <v>1559575.9821839998</v>
      </c>
      <c r="J39" s="54">
        <f t="shared" si="1"/>
        <v>8177791.9821839985</v>
      </c>
      <c r="K39" s="58" t="s">
        <v>124</v>
      </c>
      <c r="L39" s="56">
        <f t="shared" si="2"/>
        <v>408889.59910919995</v>
      </c>
      <c r="M39" s="76" t="s">
        <v>124</v>
      </c>
      <c r="N39" s="78"/>
      <c r="O39" s="76" t="s">
        <v>124</v>
      </c>
      <c r="P39" s="167" t="s">
        <v>124</v>
      </c>
      <c r="Q39" s="167" t="s">
        <v>124</v>
      </c>
      <c r="R39" s="57"/>
      <c r="S39" s="57"/>
    </row>
    <row r="40" spans="1:19" ht="13.5" x14ac:dyDescent="0.25">
      <c r="A40" s="135"/>
      <c r="B40" s="143"/>
      <c r="C40" s="143"/>
      <c r="D40" s="144"/>
      <c r="E40" s="145" t="s">
        <v>141</v>
      </c>
      <c r="F40" s="135"/>
      <c r="G40" s="143"/>
      <c r="H40" s="133">
        <f t="shared" ref="H40:S40" si="3">SUM(H4:H39)</f>
        <v>1703039686.1862874</v>
      </c>
      <c r="I40" s="133">
        <f t="shared" si="3"/>
        <v>401319599.01011246</v>
      </c>
      <c r="J40" s="133">
        <f t="shared" si="3"/>
        <v>2104359285.196399</v>
      </c>
      <c r="K40" s="133">
        <f t="shared" si="3"/>
        <v>20000000</v>
      </c>
      <c r="L40" s="133">
        <f t="shared" si="3"/>
        <v>105217964.25981997</v>
      </c>
      <c r="M40" s="133">
        <f t="shared" si="3"/>
        <v>50000000</v>
      </c>
      <c r="N40" s="133">
        <f t="shared" si="3"/>
        <v>20000000</v>
      </c>
      <c r="O40" s="133">
        <f t="shared" si="3"/>
        <v>1500000</v>
      </c>
      <c r="P40" s="133">
        <f t="shared" si="3"/>
        <v>500000</v>
      </c>
      <c r="Q40" s="133">
        <f t="shared" si="3"/>
        <v>500000</v>
      </c>
      <c r="R40" s="133">
        <f t="shared" si="3"/>
        <v>90000000</v>
      </c>
      <c r="S40" s="133">
        <f t="shared" si="3"/>
        <v>7839846</v>
      </c>
    </row>
    <row r="41" spans="1:19" x14ac:dyDescent="0.25">
      <c r="A41" s="99"/>
      <c r="B41" s="105"/>
      <c r="C41" s="9"/>
      <c r="D41" s="106"/>
      <c r="E41" s="107"/>
      <c r="F41" s="108"/>
      <c r="G41" s="105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</row>
    <row r="42" spans="1:19" ht="15.75" x14ac:dyDescent="0.25">
      <c r="B42" s="111"/>
      <c r="D42" s="158" t="s">
        <v>125</v>
      </c>
      <c r="E42" s="9"/>
      <c r="F42" s="99"/>
      <c r="G42" s="9"/>
      <c r="H42" s="101"/>
      <c r="I42" s="90"/>
      <c r="J42" s="90"/>
      <c r="K42" s="91"/>
      <c r="L42" s="91"/>
      <c r="M42" s="91"/>
      <c r="N42" s="91"/>
      <c r="O42" s="91"/>
      <c r="P42" s="91"/>
      <c r="Q42" s="91"/>
      <c r="R42" s="91"/>
      <c r="S42" s="91"/>
    </row>
    <row r="43" spans="1:19" x14ac:dyDescent="0.25">
      <c r="A43" s="82">
        <v>39</v>
      </c>
      <c r="B43" s="57" t="s">
        <v>486</v>
      </c>
      <c r="C43" s="57" t="s">
        <v>31</v>
      </c>
      <c r="D43" s="83" t="s">
        <v>248</v>
      </c>
      <c r="E43" s="83" t="s">
        <v>249</v>
      </c>
      <c r="F43" s="82">
        <v>80370</v>
      </c>
      <c r="G43" s="83" t="s">
        <v>130</v>
      </c>
      <c r="H43" s="88"/>
      <c r="I43" s="54">
        <v>80000</v>
      </c>
      <c r="J43" s="54">
        <f>+H43+I43</f>
        <v>80000</v>
      </c>
      <c r="K43" s="58" t="s">
        <v>124</v>
      </c>
      <c r="L43" s="56">
        <f t="shared" ref="L43:L106" si="4">(H43+I43)*5%</f>
        <v>4000</v>
      </c>
      <c r="M43" s="76" t="s">
        <v>124</v>
      </c>
      <c r="N43" s="76" t="s">
        <v>124</v>
      </c>
      <c r="O43" s="76" t="s">
        <v>124</v>
      </c>
      <c r="P43" s="76" t="s">
        <v>124</v>
      </c>
      <c r="Q43" s="76" t="s">
        <v>124</v>
      </c>
      <c r="R43" s="83"/>
      <c r="S43" s="83"/>
    </row>
    <row r="44" spans="1:19" x14ac:dyDescent="0.25">
      <c r="A44" s="82">
        <v>40</v>
      </c>
      <c r="B44" s="57" t="s">
        <v>486</v>
      </c>
      <c r="C44" s="57" t="s">
        <v>31</v>
      </c>
      <c r="D44" s="83" t="s">
        <v>251</v>
      </c>
      <c r="E44" s="83" t="s">
        <v>252</v>
      </c>
      <c r="F44" s="82">
        <v>81820</v>
      </c>
      <c r="G44" s="83" t="s">
        <v>126</v>
      </c>
      <c r="H44" s="88"/>
      <c r="I44" s="54">
        <v>70000</v>
      </c>
      <c r="J44" s="54">
        <f t="shared" ref="J44:J107" si="5">+H44+I44</f>
        <v>70000</v>
      </c>
      <c r="K44" s="58" t="s">
        <v>124</v>
      </c>
      <c r="L44" s="56">
        <f t="shared" si="4"/>
        <v>3500</v>
      </c>
      <c r="M44" s="76" t="s">
        <v>124</v>
      </c>
      <c r="N44" s="76" t="s">
        <v>124</v>
      </c>
      <c r="O44" s="76" t="s">
        <v>124</v>
      </c>
      <c r="P44" s="76" t="s">
        <v>124</v>
      </c>
      <c r="Q44" s="76" t="s">
        <v>124</v>
      </c>
      <c r="R44" s="83"/>
      <c r="S44" s="83"/>
    </row>
    <row r="45" spans="1:19" x14ac:dyDescent="0.25">
      <c r="A45" s="82">
        <v>41</v>
      </c>
      <c r="B45" s="57" t="s">
        <v>486</v>
      </c>
      <c r="C45" s="57" t="s">
        <v>31</v>
      </c>
      <c r="D45" s="83" t="s">
        <v>253</v>
      </c>
      <c r="E45" s="83" t="s">
        <v>252</v>
      </c>
      <c r="F45" s="82">
        <v>81820</v>
      </c>
      <c r="G45" s="83" t="s">
        <v>126</v>
      </c>
      <c r="H45" s="88"/>
      <c r="I45" s="54">
        <v>70000</v>
      </c>
      <c r="J45" s="54">
        <f t="shared" si="5"/>
        <v>70000</v>
      </c>
      <c r="K45" s="58" t="s">
        <v>124</v>
      </c>
      <c r="L45" s="56">
        <f t="shared" si="4"/>
        <v>3500</v>
      </c>
      <c r="M45" s="76" t="s">
        <v>124</v>
      </c>
      <c r="N45" s="76" t="s">
        <v>124</v>
      </c>
      <c r="O45" s="76" t="s">
        <v>124</v>
      </c>
      <c r="P45" s="76" t="s">
        <v>124</v>
      </c>
      <c r="Q45" s="76" t="s">
        <v>124</v>
      </c>
      <c r="R45" s="83"/>
      <c r="S45" s="83"/>
    </row>
    <row r="46" spans="1:19" x14ac:dyDescent="0.25">
      <c r="A46" s="82">
        <v>42</v>
      </c>
      <c r="B46" s="57" t="s">
        <v>486</v>
      </c>
      <c r="C46" s="57" t="s">
        <v>31</v>
      </c>
      <c r="D46" s="83" t="s">
        <v>254</v>
      </c>
      <c r="E46" s="83" t="s">
        <v>252</v>
      </c>
      <c r="F46" s="82">
        <v>81820</v>
      </c>
      <c r="G46" s="83" t="s">
        <v>126</v>
      </c>
      <c r="H46" s="88"/>
      <c r="I46" s="54">
        <v>60000</v>
      </c>
      <c r="J46" s="54">
        <f t="shared" si="5"/>
        <v>60000</v>
      </c>
      <c r="K46" s="58" t="s">
        <v>124</v>
      </c>
      <c r="L46" s="56">
        <f t="shared" si="4"/>
        <v>3000</v>
      </c>
      <c r="M46" s="76" t="s">
        <v>124</v>
      </c>
      <c r="N46" s="76" t="s">
        <v>124</v>
      </c>
      <c r="O46" s="76" t="s">
        <v>124</v>
      </c>
      <c r="P46" s="76" t="s">
        <v>124</v>
      </c>
      <c r="Q46" s="76" t="s">
        <v>124</v>
      </c>
      <c r="R46" s="83"/>
      <c r="S46" s="83"/>
    </row>
    <row r="47" spans="1:19" x14ac:dyDescent="0.25">
      <c r="A47" s="82">
        <v>43</v>
      </c>
      <c r="B47" s="57" t="s">
        <v>486</v>
      </c>
      <c r="C47" s="57" t="s">
        <v>31</v>
      </c>
      <c r="D47" s="83" t="s">
        <v>255</v>
      </c>
      <c r="E47" s="83" t="s">
        <v>252</v>
      </c>
      <c r="F47" s="82">
        <v>81820</v>
      </c>
      <c r="G47" s="83" t="s">
        <v>126</v>
      </c>
      <c r="H47" s="88"/>
      <c r="I47" s="54">
        <v>60000</v>
      </c>
      <c r="J47" s="54">
        <f t="shared" si="5"/>
        <v>60000</v>
      </c>
      <c r="K47" s="58" t="s">
        <v>124</v>
      </c>
      <c r="L47" s="56">
        <f t="shared" si="4"/>
        <v>3000</v>
      </c>
      <c r="M47" s="76" t="s">
        <v>124</v>
      </c>
      <c r="N47" s="76" t="s">
        <v>124</v>
      </c>
      <c r="O47" s="76" t="s">
        <v>124</v>
      </c>
      <c r="P47" s="76" t="s">
        <v>124</v>
      </c>
      <c r="Q47" s="76" t="s">
        <v>124</v>
      </c>
      <c r="R47" s="83"/>
      <c r="S47" s="83"/>
    </row>
    <row r="48" spans="1:19" x14ac:dyDescent="0.25">
      <c r="A48" s="82">
        <v>44</v>
      </c>
      <c r="B48" s="57" t="s">
        <v>486</v>
      </c>
      <c r="C48" s="57" t="s">
        <v>31</v>
      </c>
      <c r="D48" s="83" t="s">
        <v>256</v>
      </c>
      <c r="E48" s="83" t="s">
        <v>252</v>
      </c>
      <c r="F48" s="82">
        <v>81820</v>
      </c>
      <c r="G48" s="83" t="s">
        <v>126</v>
      </c>
      <c r="H48" s="88"/>
      <c r="I48" s="54">
        <v>70000</v>
      </c>
      <c r="J48" s="54">
        <f t="shared" si="5"/>
        <v>70000</v>
      </c>
      <c r="K48" s="58" t="s">
        <v>124</v>
      </c>
      <c r="L48" s="56">
        <f t="shared" si="4"/>
        <v>3500</v>
      </c>
      <c r="M48" s="76" t="s">
        <v>124</v>
      </c>
      <c r="N48" s="76" t="s">
        <v>124</v>
      </c>
      <c r="O48" s="76" t="s">
        <v>124</v>
      </c>
      <c r="P48" s="76" t="s">
        <v>124</v>
      </c>
      <c r="Q48" s="76" t="s">
        <v>124</v>
      </c>
      <c r="R48" s="83"/>
      <c r="S48" s="83"/>
    </row>
    <row r="49" spans="1:19" x14ac:dyDescent="0.25">
      <c r="A49" s="82">
        <v>45</v>
      </c>
      <c r="B49" s="57" t="s">
        <v>486</v>
      </c>
      <c r="C49" s="57" t="s">
        <v>31</v>
      </c>
      <c r="D49" s="83" t="s">
        <v>257</v>
      </c>
      <c r="E49" s="83" t="s">
        <v>258</v>
      </c>
      <c r="F49" s="82">
        <v>81000</v>
      </c>
      <c r="G49" s="83" t="s">
        <v>4</v>
      </c>
      <c r="H49" s="88"/>
      <c r="I49" s="54">
        <v>320000</v>
      </c>
      <c r="J49" s="54">
        <f t="shared" si="5"/>
        <v>320000</v>
      </c>
      <c r="K49" s="58" t="s">
        <v>124</v>
      </c>
      <c r="L49" s="56">
        <f t="shared" si="4"/>
        <v>16000</v>
      </c>
      <c r="M49" s="76" t="s">
        <v>124</v>
      </c>
      <c r="N49" s="76" t="s">
        <v>124</v>
      </c>
      <c r="O49" s="76" t="s">
        <v>124</v>
      </c>
      <c r="P49" s="76" t="s">
        <v>124</v>
      </c>
      <c r="Q49" s="76" t="s">
        <v>124</v>
      </c>
      <c r="R49" s="83"/>
      <c r="S49" s="83"/>
    </row>
    <row r="50" spans="1:19" x14ac:dyDescent="0.25">
      <c r="A50" s="82">
        <v>46</v>
      </c>
      <c r="B50" s="57" t="s">
        <v>486</v>
      </c>
      <c r="C50" s="57" t="s">
        <v>31</v>
      </c>
      <c r="D50" s="83" t="s">
        <v>253</v>
      </c>
      <c r="E50" s="83" t="s">
        <v>260</v>
      </c>
      <c r="F50" s="82">
        <v>82700</v>
      </c>
      <c r="G50" s="83" t="s">
        <v>262</v>
      </c>
      <c r="H50" s="88"/>
      <c r="I50" s="54">
        <v>491500</v>
      </c>
      <c r="J50" s="54">
        <f t="shared" si="5"/>
        <v>491500</v>
      </c>
      <c r="K50" s="58" t="s">
        <v>124</v>
      </c>
      <c r="L50" s="56">
        <f t="shared" si="4"/>
        <v>24575</v>
      </c>
      <c r="M50" s="76" t="s">
        <v>124</v>
      </c>
      <c r="N50" s="76" t="s">
        <v>124</v>
      </c>
      <c r="O50" s="76" t="s">
        <v>124</v>
      </c>
      <c r="P50" s="76" t="s">
        <v>124</v>
      </c>
      <c r="Q50" s="76" t="s">
        <v>124</v>
      </c>
      <c r="R50" s="83"/>
      <c r="S50" s="83"/>
    </row>
    <row r="51" spans="1:19" x14ac:dyDescent="0.25">
      <c r="A51" s="82">
        <v>47</v>
      </c>
      <c r="B51" s="57" t="s">
        <v>486</v>
      </c>
      <c r="C51" s="57" t="s">
        <v>31</v>
      </c>
      <c r="D51" s="83" t="s">
        <v>493</v>
      </c>
      <c r="E51" s="83" t="s">
        <v>264</v>
      </c>
      <c r="F51" s="82">
        <v>82017</v>
      </c>
      <c r="G51" s="83" t="s">
        <v>101</v>
      </c>
      <c r="H51" s="88"/>
      <c r="I51" s="54">
        <v>960000</v>
      </c>
      <c r="J51" s="54">
        <f t="shared" si="5"/>
        <v>960000</v>
      </c>
      <c r="K51" s="58" t="s">
        <v>124</v>
      </c>
      <c r="L51" s="56">
        <f t="shared" si="4"/>
        <v>48000</v>
      </c>
      <c r="M51" s="76" t="s">
        <v>124</v>
      </c>
      <c r="N51" s="76" t="s">
        <v>124</v>
      </c>
      <c r="O51" s="76" t="s">
        <v>124</v>
      </c>
      <c r="P51" s="76" t="s">
        <v>124</v>
      </c>
      <c r="Q51" s="76" t="s">
        <v>124</v>
      </c>
      <c r="R51" s="83"/>
      <c r="S51" s="83"/>
    </row>
    <row r="52" spans="1:19" x14ac:dyDescent="0.25">
      <c r="A52" s="82">
        <v>48</v>
      </c>
      <c r="B52" s="57" t="s">
        <v>486</v>
      </c>
      <c r="C52" s="57" t="s">
        <v>31</v>
      </c>
      <c r="D52" s="83" t="s">
        <v>265</v>
      </c>
      <c r="E52" s="83" t="s">
        <v>266</v>
      </c>
      <c r="F52" s="82">
        <v>80379</v>
      </c>
      <c r="G52" s="83" t="s">
        <v>130</v>
      </c>
      <c r="H52" s="88"/>
      <c r="I52" s="54">
        <v>36200</v>
      </c>
      <c r="J52" s="54">
        <f t="shared" si="5"/>
        <v>36200</v>
      </c>
      <c r="K52" s="58" t="s">
        <v>124</v>
      </c>
      <c r="L52" s="56">
        <f t="shared" si="4"/>
        <v>1810</v>
      </c>
      <c r="M52" s="76" t="s">
        <v>124</v>
      </c>
      <c r="N52" s="76" t="s">
        <v>124</v>
      </c>
      <c r="O52" s="76" t="s">
        <v>124</v>
      </c>
      <c r="P52" s="76" t="s">
        <v>124</v>
      </c>
      <c r="Q52" s="76" t="s">
        <v>124</v>
      </c>
      <c r="R52" s="83"/>
      <c r="S52" s="83"/>
    </row>
    <row r="53" spans="1:19" x14ac:dyDescent="0.25">
      <c r="A53" s="82">
        <v>49</v>
      </c>
      <c r="B53" s="57" t="s">
        <v>486</v>
      </c>
      <c r="C53" s="57" t="s">
        <v>31</v>
      </c>
      <c r="D53" s="83" t="s">
        <v>268</v>
      </c>
      <c r="E53" s="83" t="s">
        <v>269</v>
      </c>
      <c r="F53" s="82">
        <v>81330</v>
      </c>
      <c r="G53" s="83" t="s">
        <v>34</v>
      </c>
      <c r="H53" s="88"/>
      <c r="I53" s="54">
        <v>100000</v>
      </c>
      <c r="J53" s="54">
        <f t="shared" si="5"/>
        <v>100000</v>
      </c>
      <c r="K53" s="58" t="s">
        <v>124</v>
      </c>
      <c r="L53" s="56">
        <f t="shared" si="4"/>
        <v>5000</v>
      </c>
      <c r="M53" s="76" t="s">
        <v>124</v>
      </c>
      <c r="N53" s="76" t="s">
        <v>124</v>
      </c>
      <c r="O53" s="76" t="s">
        <v>124</v>
      </c>
      <c r="P53" s="76" t="s">
        <v>124</v>
      </c>
      <c r="Q53" s="76" t="s">
        <v>124</v>
      </c>
      <c r="R53" s="83"/>
      <c r="S53" s="83"/>
    </row>
    <row r="54" spans="1:19" x14ac:dyDescent="0.25">
      <c r="A54" s="82">
        <v>50</v>
      </c>
      <c r="B54" s="57" t="s">
        <v>486</v>
      </c>
      <c r="C54" s="57" t="s">
        <v>31</v>
      </c>
      <c r="D54" s="83" t="s">
        <v>271</v>
      </c>
      <c r="E54" s="83" t="s">
        <v>272</v>
      </c>
      <c r="F54" s="82">
        <v>80128</v>
      </c>
      <c r="G54" s="83" t="s">
        <v>5</v>
      </c>
      <c r="H54" s="88"/>
      <c r="I54" s="54">
        <v>2772680</v>
      </c>
      <c r="J54" s="54">
        <f t="shared" si="5"/>
        <v>2772680</v>
      </c>
      <c r="K54" s="58" t="s">
        <v>124</v>
      </c>
      <c r="L54" s="56">
        <f t="shared" si="4"/>
        <v>138634</v>
      </c>
      <c r="M54" s="76" t="s">
        <v>124</v>
      </c>
      <c r="N54" s="76" t="s">
        <v>124</v>
      </c>
      <c r="O54" s="76" t="s">
        <v>124</v>
      </c>
      <c r="P54" s="76" t="s">
        <v>124</v>
      </c>
      <c r="Q54" s="76" t="s">
        <v>124</v>
      </c>
      <c r="R54" s="83"/>
      <c r="S54" s="83"/>
    </row>
    <row r="55" spans="1:19" x14ac:dyDescent="0.25">
      <c r="A55" s="82">
        <v>51</v>
      </c>
      <c r="B55" s="57" t="s">
        <v>486</v>
      </c>
      <c r="C55" s="57" t="s">
        <v>31</v>
      </c>
      <c r="D55" s="83" t="s">
        <v>274</v>
      </c>
      <c r="E55" s="83" t="s">
        <v>275</v>
      </c>
      <c r="F55" s="82">
        <v>81280</v>
      </c>
      <c r="G55" s="83" t="s">
        <v>34</v>
      </c>
      <c r="H55" s="88"/>
      <c r="I55" s="54">
        <v>1500000</v>
      </c>
      <c r="J55" s="54">
        <f t="shared" si="5"/>
        <v>1500000</v>
      </c>
      <c r="K55" s="58" t="s">
        <v>124</v>
      </c>
      <c r="L55" s="56">
        <f t="shared" si="4"/>
        <v>75000</v>
      </c>
      <c r="M55" s="76" t="s">
        <v>124</v>
      </c>
      <c r="N55" s="76" t="s">
        <v>124</v>
      </c>
      <c r="O55" s="76" t="s">
        <v>124</v>
      </c>
      <c r="P55" s="76" t="s">
        <v>124</v>
      </c>
      <c r="Q55" s="76" t="s">
        <v>124</v>
      </c>
      <c r="R55" s="83"/>
      <c r="S55" s="83"/>
    </row>
    <row r="56" spans="1:19" x14ac:dyDescent="0.25">
      <c r="A56" s="82">
        <v>52</v>
      </c>
      <c r="B56" s="57" t="s">
        <v>486</v>
      </c>
      <c r="C56" s="57" t="s">
        <v>31</v>
      </c>
      <c r="D56" s="83" t="s">
        <v>276</v>
      </c>
      <c r="E56" s="83" t="s">
        <v>275</v>
      </c>
      <c r="F56" s="82">
        <v>81280</v>
      </c>
      <c r="G56" s="83" t="s">
        <v>34</v>
      </c>
      <c r="H56" s="88"/>
      <c r="I56" s="54">
        <v>1500000</v>
      </c>
      <c r="J56" s="54">
        <f t="shared" si="5"/>
        <v>1500000</v>
      </c>
      <c r="K56" s="58" t="s">
        <v>124</v>
      </c>
      <c r="L56" s="56">
        <f t="shared" si="4"/>
        <v>75000</v>
      </c>
      <c r="M56" s="76" t="s">
        <v>124</v>
      </c>
      <c r="N56" s="76" t="s">
        <v>124</v>
      </c>
      <c r="O56" s="76" t="s">
        <v>124</v>
      </c>
      <c r="P56" s="76" t="s">
        <v>124</v>
      </c>
      <c r="Q56" s="76" t="s">
        <v>124</v>
      </c>
      <c r="R56" s="83"/>
      <c r="S56" s="83"/>
    </row>
    <row r="57" spans="1:19" x14ac:dyDescent="0.25">
      <c r="A57" s="82">
        <v>53</v>
      </c>
      <c r="B57" s="57" t="s">
        <v>486</v>
      </c>
      <c r="C57" s="57" t="s">
        <v>31</v>
      </c>
      <c r="D57" s="83" t="s">
        <v>366</v>
      </c>
      <c r="E57" s="83" t="s">
        <v>278</v>
      </c>
      <c r="F57" s="82">
        <v>82010</v>
      </c>
      <c r="G57" s="83" t="s">
        <v>101</v>
      </c>
      <c r="H57" s="88"/>
      <c r="I57" s="54">
        <v>580000</v>
      </c>
      <c r="J57" s="54">
        <f t="shared" si="5"/>
        <v>580000</v>
      </c>
      <c r="K57" s="58" t="s">
        <v>124</v>
      </c>
      <c r="L57" s="56">
        <f t="shared" si="4"/>
        <v>29000</v>
      </c>
      <c r="M57" s="76" t="s">
        <v>124</v>
      </c>
      <c r="N57" s="76" t="s">
        <v>124</v>
      </c>
      <c r="O57" s="76" t="s">
        <v>124</v>
      </c>
      <c r="P57" s="76" t="s">
        <v>124</v>
      </c>
      <c r="Q57" s="76" t="s">
        <v>124</v>
      </c>
      <c r="R57" s="83"/>
      <c r="S57" s="83"/>
    </row>
    <row r="58" spans="1:19" x14ac:dyDescent="0.25">
      <c r="A58" s="82">
        <v>54</v>
      </c>
      <c r="B58" s="57" t="s">
        <v>486</v>
      </c>
      <c r="C58" s="57" t="s">
        <v>31</v>
      </c>
      <c r="D58" s="83" t="s">
        <v>494</v>
      </c>
      <c r="E58" s="83" t="s">
        <v>280</v>
      </c>
      <c r="F58" s="82">
        <v>81280</v>
      </c>
      <c r="G58" s="83" t="s">
        <v>34</v>
      </c>
      <c r="H58" s="88"/>
      <c r="I58" s="54">
        <v>250500</v>
      </c>
      <c r="J58" s="54">
        <f t="shared" si="5"/>
        <v>250500</v>
      </c>
      <c r="K58" s="58" t="s">
        <v>124</v>
      </c>
      <c r="L58" s="56">
        <f t="shared" si="4"/>
        <v>12525</v>
      </c>
      <c r="M58" s="76" t="s">
        <v>124</v>
      </c>
      <c r="N58" s="76" t="s">
        <v>124</v>
      </c>
      <c r="O58" s="76" t="s">
        <v>124</v>
      </c>
      <c r="P58" s="76" t="s">
        <v>124</v>
      </c>
      <c r="Q58" s="76" t="s">
        <v>124</v>
      </c>
      <c r="R58" s="83"/>
      <c r="S58" s="83"/>
    </row>
    <row r="59" spans="1:19" x14ac:dyDescent="0.25">
      <c r="A59" s="82">
        <v>55</v>
      </c>
      <c r="B59" s="57" t="s">
        <v>486</v>
      </c>
      <c r="C59" s="57" t="s">
        <v>31</v>
      </c>
      <c r="D59" s="83" t="s">
        <v>281</v>
      </c>
      <c r="E59" s="83" t="s">
        <v>282</v>
      </c>
      <c r="F59" s="82">
        <v>80129</v>
      </c>
      <c r="G59" s="83" t="s">
        <v>5</v>
      </c>
      <c r="H59" s="88"/>
      <c r="I59" s="54">
        <v>295400</v>
      </c>
      <c r="J59" s="54">
        <f t="shared" si="5"/>
        <v>295400</v>
      </c>
      <c r="K59" s="58" t="s">
        <v>124</v>
      </c>
      <c r="L59" s="56">
        <f t="shared" si="4"/>
        <v>14770</v>
      </c>
      <c r="M59" s="76" t="s">
        <v>124</v>
      </c>
      <c r="N59" s="76" t="s">
        <v>124</v>
      </c>
      <c r="O59" s="76" t="s">
        <v>124</v>
      </c>
      <c r="P59" s="76" t="s">
        <v>124</v>
      </c>
      <c r="Q59" s="76" t="s">
        <v>124</v>
      </c>
      <c r="R59" s="83"/>
      <c r="S59" s="83"/>
    </row>
    <row r="60" spans="1:19" x14ac:dyDescent="0.25">
      <c r="A60" s="82">
        <v>56</v>
      </c>
      <c r="B60" s="57" t="s">
        <v>486</v>
      </c>
      <c r="C60" s="57" t="s">
        <v>31</v>
      </c>
      <c r="D60" s="83" t="s">
        <v>283</v>
      </c>
      <c r="E60" s="83" t="s">
        <v>284</v>
      </c>
      <c r="F60" s="82">
        <v>82530</v>
      </c>
      <c r="G60" s="83" t="s">
        <v>47</v>
      </c>
      <c r="H60" s="88"/>
      <c r="I60" s="54">
        <v>4720000</v>
      </c>
      <c r="J60" s="54">
        <f t="shared" si="5"/>
        <v>4720000</v>
      </c>
      <c r="K60" s="58" t="s">
        <v>124</v>
      </c>
      <c r="L60" s="56">
        <f t="shared" si="4"/>
        <v>236000</v>
      </c>
      <c r="M60" s="76" t="s">
        <v>124</v>
      </c>
      <c r="N60" s="76" t="s">
        <v>124</v>
      </c>
      <c r="O60" s="76" t="s">
        <v>124</v>
      </c>
      <c r="P60" s="76" t="s">
        <v>124</v>
      </c>
      <c r="Q60" s="76" t="s">
        <v>124</v>
      </c>
      <c r="R60" s="83"/>
      <c r="S60" s="83"/>
    </row>
    <row r="61" spans="1:19" x14ac:dyDescent="0.25">
      <c r="A61" s="82">
        <v>57</v>
      </c>
      <c r="B61" s="57" t="s">
        <v>486</v>
      </c>
      <c r="C61" s="57" t="s">
        <v>31</v>
      </c>
      <c r="D61" s="83" t="s">
        <v>286</v>
      </c>
      <c r="E61" s="83" t="s">
        <v>287</v>
      </c>
      <c r="F61" s="82">
        <v>80139</v>
      </c>
      <c r="G61" s="83" t="s">
        <v>5</v>
      </c>
      <c r="H61" s="88"/>
      <c r="I61" s="54">
        <v>8600000</v>
      </c>
      <c r="J61" s="54">
        <f t="shared" si="5"/>
        <v>8600000</v>
      </c>
      <c r="K61" s="58" t="s">
        <v>124</v>
      </c>
      <c r="L61" s="56">
        <f t="shared" si="4"/>
        <v>430000</v>
      </c>
      <c r="M61" s="76" t="s">
        <v>124</v>
      </c>
      <c r="N61" s="76" t="s">
        <v>124</v>
      </c>
      <c r="O61" s="76" t="s">
        <v>124</v>
      </c>
      <c r="P61" s="76" t="s">
        <v>124</v>
      </c>
      <c r="Q61" s="76" t="s">
        <v>124</v>
      </c>
      <c r="R61" s="83"/>
      <c r="S61" s="83"/>
    </row>
    <row r="62" spans="1:19" x14ac:dyDescent="0.25">
      <c r="A62" s="82">
        <v>58</v>
      </c>
      <c r="B62" s="57" t="s">
        <v>486</v>
      </c>
      <c r="C62" s="57" t="s">
        <v>31</v>
      </c>
      <c r="D62" s="83" t="s">
        <v>288</v>
      </c>
      <c r="E62" s="83" t="s">
        <v>289</v>
      </c>
      <c r="F62" s="82">
        <v>81805</v>
      </c>
      <c r="G62" s="83" t="s">
        <v>126</v>
      </c>
      <c r="H62" s="88"/>
      <c r="I62" s="54">
        <v>2320000</v>
      </c>
      <c r="J62" s="54">
        <f t="shared" si="5"/>
        <v>2320000</v>
      </c>
      <c r="K62" s="58" t="s">
        <v>124</v>
      </c>
      <c r="L62" s="56">
        <f t="shared" si="4"/>
        <v>116000</v>
      </c>
      <c r="M62" s="76" t="s">
        <v>124</v>
      </c>
      <c r="N62" s="76" t="s">
        <v>124</v>
      </c>
      <c r="O62" s="76" t="s">
        <v>124</v>
      </c>
      <c r="P62" s="76" t="s">
        <v>124</v>
      </c>
      <c r="Q62" s="76" t="s">
        <v>124</v>
      </c>
      <c r="R62" s="83"/>
      <c r="S62" s="83"/>
    </row>
    <row r="63" spans="1:19" x14ac:dyDescent="0.25">
      <c r="A63" s="82">
        <v>59</v>
      </c>
      <c r="B63" s="57" t="s">
        <v>486</v>
      </c>
      <c r="C63" s="57" t="s">
        <v>31</v>
      </c>
      <c r="D63" s="83" t="s">
        <v>290</v>
      </c>
      <c r="E63" s="83" t="s">
        <v>291</v>
      </c>
      <c r="F63" s="82">
        <v>82320</v>
      </c>
      <c r="G63" s="83" t="s">
        <v>101</v>
      </c>
      <c r="H63" s="88"/>
      <c r="I63" s="54">
        <v>1640000</v>
      </c>
      <c r="J63" s="54">
        <f t="shared" si="5"/>
        <v>1640000</v>
      </c>
      <c r="K63" s="58" t="s">
        <v>124</v>
      </c>
      <c r="L63" s="56">
        <f t="shared" si="4"/>
        <v>82000</v>
      </c>
      <c r="M63" s="76" t="s">
        <v>124</v>
      </c>
      <c r="N63" s="76" t="s">
        <v>124</v>
      </c>
      <c r="O63" s="76" t="s">
        <v>124</v>
      </c>
      <c r="P63" s="76" t="s">
        <v>124</v>
      </c>
      <c r="Q63" s="76" t="s">
        <v>124</v>
      </c>
      <c r="R63" s="83"/>
      <c r="S63" s="83"/>
    </row>
    <row r="64" spans="1:19" x14ac:dyDescent="0.25">
      <c r="A64" s="82">
        <v>60</v>
      </c>
      <c r="B64" s="57" t="s">
        <v>486</v>
      </c>
      <c r="C64" s="57" t="s">
        <v>31</v>
      </c>
      <c r="D64" s="83" t="s">
        <v>293</v>
      </c>
      <c r="E64" s="83" t="s">
        <v>294</v>
      </c>
      <c r="F64" s="82">
        <v>81300</v>
      </c>
      <c r="G64" s="83" t="s">
        <v>34</v>
      </c>
      <c r="H64" s="88"/>
      <c r="I64" s="54">
        <v>1480000</v>
      </c>
      <c r="J64" s="54">
        <f t="shared" si="5"/>
        <v>1480000</v>
      </c>
      <c r="K64" s="58" t="s">
        <v>124</v>
      </c>
      <c r="L64" s="56">
        <f t="shared" si="4"/>
        <v>74000</v>
      </c>
      <c r="M64" s="76" t="s">
        <v>124</v>
      </c>
      <c r="N64" s="76" t="s">
        <v>124</v>
      </c>
      <c r="O64" s="76" t="s">
        <v>124</v>
      </c>
      <c r="P64" s="76" t="s">
        <v>124</v>
      </c>
      <c r="Q64" s="76" t="s">
        <v>124</v>
      </c>
      <c r="R64" s="83"/>
      <c r="S64" s="83"/>
    </row>
    <row r="65" spans="1:19" x14ac:dyDescent="0.25">
      <c r="A65" s="82">
        <v>61</v>
      </c>
      <c r="B65" s="57" t="s">
        <v>486</v>
      </c>
      <c r="C65" s="57" t="s">
        <v>31</v>
      </c>
      <c r="D65" s="83" t="s">
        <v>295</v>
      </c>
      <c r="E65" s="83" t="s">
        <v>296</v>
      </c>
      <c r="F65" s="82">
        <v>81610</v>
      </c>
      <c r="G65" s="83" t="s">
        <v>35</v>
      </c>
      <c r="H65" s="88"/>
      <c r="I65" s="54">
        <v>6880000</v>
      </c>
      <c r="J65" s="54">
        <f t="shared" si="5"/>
        <v>6880000</v>
      </c>
      <c r="K65" s="58" t="s">
        <v>124</v>
      </c>
      <c r="L65" s="56">
        <f t="shared" si="4"/>
        <v>344000</v>
      </c>
      <c r="M65" s="76" t="s">
        <v>124</v>
      </c>
      <c r="N65" s="76" t="s">
        <v>124</v>
      </c>
      <c r="O65" s="76" t="s">
        <v>124</v>
      </c>
      <c r="P65" s="76" t="s">
        <v>124</v>
      </c>
      <c r="Q65" s="76" t="s">
        <v>124</v>
      </c>
      <c r="R65" s="83"/>
      <c r="S65" s="83"/>
    </row>
    <row r="66" spans="1:19" x14ac:dyDescent="0.25">
      <c r="A66" s="82">
        <v>62</v>
      </c>
      <c r="B66" s="57" t="s">
        <v>486</v>
      </c>
      <c r="C66" s="57" t="s">
        <v>31</v>
      </c>
      <c r="D66" s="83" t="s">
        <v>298</v>
      </c>
      <c r="E66" s="83" t="s">
        <v>299</v>
      </c>
      <c r="F66" s="82">
        <v>81199</v>
      </c>
      <c r="G66" s="83" t="s">
        <v>5</v>
      </c>
      <c r="H66" s="88"/>
      <c r="I66" s="54">
        <v>960000</v>
      </c>
      <c r="J66" s="54">
        <f t="shared" si="5"/>
        <v>960000</v>
      </c>
      <c r="K66" s="58" t="s">
        <v>124</v>
      </c>
      <c r="L66" s="56">
        <f t="shared" si="4"/>
        <v>48000</v>
      </c>
      <c r="M66" s="76" t="s">
        <v>124</v>
      </c>
      <c r="N66" s="76" t="s">
        <v>124</v>
      </c>
      <c r="O66" s="76" t="s">
        <v>124</v>
      </c>
      <c r="P66" s="76" t="s">
        <v>124</v>
      </c>
      <c r="Q66" s="76" t="s">
        <v>124</v>
      </c>
      <c r="R66" s="83"/>
      <c r="S66" s="83"/>
    </row>
    <row r="67" spans="1:19" x14ac:dyDescent="0.25">
      <c r="A67" s="82">
        <v>63</v>
      </c>
      <c r="B67" s="57" t="s">
        <v>486</v>
      </c>
      <c r="C67" s="57" t="s">
        <v>31</v>
      </c>
      <c r="D67" s="83" t="s">
        <v>301</v>
      </c>
      <c r="E67" s="83" t="s">
        <v>299</v>
      </c>
      <c r="F67" s="82">
        <v>81199</v>
      </c>
      <c r="G67" s="83" t="s">
        <v>5</v>
      </c>
      <c r="H67" s="88"/>
      <c r="I67" s="54">
        <v>4560000</v>
      </c>
      <c r="J67" s="54">
        <f t="shared" si="5"/>
        <v>4560000</v>
      </c>
      <c r="K67" s="58" t="s">
        <v>124</v>
      </c>
      <c r="L67" s="56">
        <f t="shared" si="4"/>
        <v>228000</v>
      </c>
      <c r="M67" s="76" t="s">
        <v>124</v>
      </c>
      <c r="N67" s="76" t="s">
        <v>124</v>
      </c>
      <c r="O67" s="76" t="s">
        <v>124</v>
      </c>
      <c r="P67" s="76" t="s">
        <v>124</v>
      </c>
      <c r="Q67" s="76" t="s">
        <v>124</v>
      </c>
      <c r="R67" s="83"/>
      <c r="S67" s="83"/>
    </row>
    <row r="68" spans="1:19" x14ac:dyDescent="0.25">
      <c r="A68" s="82">
        <v>64</v>
      </c>
      <c r="B68" s="57" t="s">
        <v>486</v>
      </c>
      <c r="C68" s="57" t="s">
        <v>31</v>
      </c>
      <c r="D68" s="83" t="s">
        <v>302</v>
      </c>
      <c r="E68" s="83" t="s">
        <v>299</v>
      </c>
      <c r="F68" s="82">
        <v>81199</v>
      </c>
      <c r="G68" s="83" t="s">
        <v>5</v>
      </c>
      <c r="H68" s="88"/>
      <c r="I68" s="54">
        <v>4400000</v>
      </c>
      <c r="J68" s="54">
        <f t="shared" si="5"/>
        <v>4400000</v>
      </c>
      <c r="K68" s="58" t="s">
        <v>124</v>
      </c>
      <c r="L68" s="56">
        <f t="shared" si="4"/>
        <v>220000</v>
      </c>
      <c r="M68" s="76" t="s">
        <v>124</v>
      </c>
      <c r="N68" s="76" t="s">
        <v>124</v>
      </c>
      <c r="O68" s="76" t="s">
        <v>124</v>
      </c>
      <c r="P68" s="76" t="s">
        <v>124</v>
      </c>
      <c r="Q68" s="76" t="s">
        <v>124</v>
      </c>
      <c r="R68" s="83"/>
      <c r="S68" s="83"/>
    </row>
    <row r="69" spans="1:19" x14ac:dyDescent="0.25">
      <c r="A69" s="82">
        <v>65</v>
      </c>
      <c r="B69" s="57" t="s">
        <v>486</v>
      </c>
      <c r="C69" s="57" t="s">
        <v>31</v>
      </c>
      <c r="D69" s="83" t="s">
        <v>127</v>
      </c>
      <c r="E69" s="83" t="s">
        <v>304</v>
      </c>
      <c r="F69" s="82">
        <v>80016</v>
      </c>
      <c r="G69" s="83" t="s">
        <v>5</v>
      </c>
      <c r="H69" s="88"/>
      <c r="I69" s="54">
        <v>1800000</v>
      </c>
      <c r="J69" s="54">
        <f t="shared" si="5"/>
        <v>1800000</v>
      </c>
      <c r="K69" s="58" t="s">
        <v>124</v>
      </c>
      <c r="L69" s="56">
        <f t="shared" si="4"/>
        <v>90000</v>
      </c>
      <c r="M69" s="76" t="s">
        <v>124</v>
      </c>
      <c r="N69" s="76" t="s">
        <v>124</v>
      </c>
      <c r="O69" s="76" t="s">
        <v>124</v>
      </c>
      <c r="P69" s="76" t="s">
        <v>124</v>
      </c>
      <c r="Q69" s="76" t="s">
        <v>124</v>
      </c>
      <c r="R69" s="83"/>
      <c r="S69" s="83"/>
    </row>
    <row r="70" spans="1:19" x14ac:dyDescent="0.25">
      <c r="A70" s="82">
        <v>66</v>
      </c>
      <c r="B70" s="57" t="s">
        <v>486</v>
      </c>
      <c r="C70" s="57" t="s">
        <v>31</v>
      </c>
      <c r="D70" s="83" t="s">
        <v>305</v>
      </c>
      <c r="E70" s="83" t="s">
        <v>306</v>
      </c>
      <c r="F70" s="82">
        <v>80000</v>
      </c>
      <c r="G70" s="83" t="s">
        <v>5</v>
      </c>
      <c r="H70" s="88"/>
      <c r="I70" s="54">
        <v>280000</v>
      </c>
      <c r="J70" s="54">
        <f t="shared" si="5"/>
        <v>280000</v>
      </c>
      <c r="K70" s="58" t="s">
        <v>124</v>
      </c>
      <c r="L70" s="56">
        <f t="shared" si="4"/>
        <v>14000</v>
      </c>
      <c r="M70" s="76" t="s">
        <v>124</v>
      </c>
      <c r="N70" s="76" t="s">
        <v>124</v>
      </c>
      <c r="O70" s="76" t="s">
        <v>124</v>
      </c>
      <c r="P70" s="76" t="s">
        <v>124</v>
      </c>
      <c r="Q70" s="76" t="s">
        <v>124</v>
      </c>
      <c r="R70" s="83"/>
      <c r="S70" s="83"/>
    </row>
    <row r="71" spans="1:19" x14ac:dyDescent="0.25">
      <c r="A71" s="82">
        <v>67</v>
      </c>
      <c r="B71" s="57" t="s">
        <v>486</v>
      </c>
      <c r="C71" s="57" t="s">
        <v>31</v>
      </c>
      <c r="D71" s="83" t="s">
        <v>495</v>
      </c>
      <c r="E71" s="83" t="s">
        <v>308</v>
      </c>
      <c r="F71" s="82">
        <v>80349</v>
      </c>
      <c r="G71" s="83" t="s">
        <v>130</v>
      </c>
      <c r="H71" s="88"/>
      <c r="I71" s="54">
        <v>1598400</v>
      </c>
      <c r="J71" s="54">
        <f t="shared" si="5"/>
        <v>1598400</v>
      </c>
      <c r="K71" s="58" t="s">
        <v>124</v>
      </c>
      <c r="L71" s="56">
        <f t="shared" si="4"/>
        <v>79920</v>
      </c>
      <c r="M71" s="76" t="s">
        <v>124</v>
      </c>
      <c r="N71" s="76" t="s">
        <v>124</v>
      </c>
      <c r="O71" s="76" t="s">
        <v>124</v>
      </c>
      <c r="P71" s="76" t="s">
        <v>124</v>
      </c>
      <c r="Q71" s="76" t="s">
        <v>124</v>
      </c>
      <c r="R71" s="83"/>
      <c r="S71" s="83"/>
    </row>
    <row r="72" spans="1:19" x14ac:dyDescent="0.25">
      <c r="A72" s="82">
        <v>68</v>
      </c>
      <c r="B72" s="57" t="s">
        <v>486</v>
      </c>
      <c r="C72" s="57" t="s">
        <v>31</v>
      </c>
      <c r="D72" s="83" t="s">
        <v>309</v>
      </c>
      <c r="E72" s="83" t="s">
        <v>310</v>
      </c>
      <c r="F72" s="82">
        <v>81200</v>
      </c>
      <c r="G72" s="83" t="s">
        <v>34</v>
      </c>
      <c r="H72" s="88"/>
      <c r="I72" s="54">
        <v>2500000</v>
      </c>
      <c r="J72" s="54">
        <f t="shared" si="5"/>
        <v>2500000</v>
      </c>
      <c r="K72" s="58" t="s">
        <v>124</v>
      </c>
      <c r="L72" s="56">
        <f t="shared" si="4"/>
        <v>125000</v>
      </c>
      <c r="M72" s="76" t="s">
        <v>124</v>
      </c>
      <c r="N72" s="76" t="s">
        <v>124</v>
      </c>
      <c r="O72" s="76" t="s">
        <v>124</v>
      </c>
      <c r="P72" s="76" t="s">
        <v>124</v>
      </c>
      <c r="Q72" s="76" t="s">
        <v>124</v>
      </c>
      <c r="R72" s="83"/>
      <c r="S72" s="83"/>
    </row>
    <row r="73" spans="1:19" x14ac:dyDescent="0.25">
      <c r="A73" s="82">
        <v>69</v>
      </c>
      <c r="B73" s="57" t="s">
        <v>486</v>
      </c>
      <c r="C73" s="57" t="s">
        <v>31</v>
      </c>
      <c r="D73" s="83" t="s">
        <v>268</v>
      </c>
      <c r="E73" s="83" t="s">
        <v>311</v>
      </c>
      <c r="F73" s="82">
        <v>80950</v>
      </c>
      <c r="G73" s="83" t="s">
        <v>49</v>
      </c>
      <c r="H73" s="88"/>
      <c r="I73" s="54">
        <v>406240</v>
      </c>
      <c r="J73" s="54">
        <f t="shared" si="5"/>
        <v>406240</v>
      </c>
      <c r="K73" s="58" t="s">
        <v>124</v>
      </c>
      <c r="L73" s="56">
        <f t="shared" si="4"/>
        <v>20312</v>
      </c>
      <c r="M73" s="76" t="s">
        <v>124</v>
      </c>
      <c r="N73" s="76" t="s">
        <v>124</v>
      </c>
      <c r="O73" s="76" t="s">
        <v>124</v>
      </c>
      <c r="P73" s="76" t="s">
        <v>124</v>
      </c>
      <c r="Q73" s="76" t="s">
        <v>124</v>
      </c>
      <c r="R73" s="83"/>
      <c r="S73" s="83"/>
    </row>
    <row r="74" spans="1:19" x14ac:dyDescent="0.25">
      <c r="A74" s="82">
        <v>70</v>
      </c>
      <c r="B74" s="57" t="s">
        <v>486</v>
      </c>
      <c r="C74" s="57" t="s">
        <v>31</v>
      </c>
      <c r="D74" s="83" t="s">
        <v>313</v>
      </c>
      <c r="E74" s="83" t="s">
        <v>311</v>
      </c>
      <c r="F74" s="82">
        <v>80950</v>
      </c>
      <c r="G74" s="83" t="s">
        <v>49</v>
      </c>
      <c r="H74" s="88"/>
      <c r="I74" s="54">
        <v>818700</v>
      </c>
      <c r="J74" s="54">
        <f t="shared" si="5"/>
        <v>818700</v>
      </c>
      <c r="K74" s="58" t="s">
        <v>124</v>
      </c>
      <c r="L74" s="56">
        <f t="shared" si="4"/>
        <v>40935</v>
      </c>
      <c r="M74" s="76" t="s">
        <v>124</v>
      </c>
      <c r="N74" s="76" t="s">
        <v>124</v>
      </c>
      <c r="O74" s="76" t="s">
        <v>124</v>
      </c>
      <c r="P74" s="76" t="s">
        <v>124</v>
      </c>
      <c r="Q74" s="76" t="s">
        <v>124</v>
      </c>
      <c r="R74" s="83"/>
      <c r="S74" s="83"/>
    </row>
    <row r="75" spans="1:19" x14ac:dyDescent="0.25">
      <c r="A75" s="82">
        <v>71</v>
      </c>
      <c r="B75" s="57" t="s">
        <v>486</v>
      </c>
      <c r="C75" s="57" t="s">
        <v>31</v>
      </c>
      <c r="D75" s="83" t="s">
        <v>314</v>
      </c>
      <c r="E75" s="83" t="s">
        <v>311</v>
      </c>
      <c r="F75" s="82">
        <v>80950</v>
      </c>
      <c r="G75" s="83" t="s">
        <v>49</v>
      </c>
      <c r="H75" s="88"/>
      <c r="I75" s="54">
        <v>64000</v>
      </c>
      <c r="J75" s="54">
        <f t="shared" si="5"/>
        <v>64000</v>
      </c>
      <c r="K75" s="58" t="s">
        <v>124</v>
      </c>
      <c r="L75" s="56">
        <f t="shared" si="4"/>
        <v>3200</v>
      </c>
      <c r="M75" s="76" t="s">
        <v>124</v>
      </c>
      <c r="N75" s="76" t="s">
        <v>124</v>
      </c>
      <c r="O75" s="76" t="s">
        <v>124</v>
      </c>
      <c r="P75" s="76" t="s">
        <v>124</v>
      </c>
      <c r="Q75" s="76" t="s">
        <v>124</v>
      </c>
      <c r="R75" s="83"/>
      <c r="S75" s="83"/>
    </row>
    <row r="76" spans="1:19" x14ac:dyDescent="0.25">
      <c r="A76" s="82">
        <v>72</v>
      </c>
      <c r="B76" s="57" t="s">
        <v>486</v>
      </c>
      <c r="C76" s="57" t="s">
        <v>31</v>
      </c>
      <c r="D76" s="83" t="s">
        <v>315</v>
      </c>
      <c r="E76" s="83" t="s">
        <v>316</v>
      </c>
      <c r="F76" s="82">
        <v>81000</v>
      </c>
      <c r="G76" s="83" t="s">
        <v>4</v>
      </c>
      <c r="H76" s="88"/>
      <c r="I76" s="54">
        <v>895980</v>
      </c>
      <c r="J76" s="54">
        <f t="shared" si="5"/>
        <v>895980</v>
      </c>
      <c r="K76" s="58" t="s">
        <v>124</v>
      </c>
      <c r="L76" s="56">
        <f t="shared" si="4"/>
        <v>44799</v>
      </c>
      <c r="M76" s="76" t="s">
        <v>124</v>
      </c>
      <c r="N76" s="76" t="s">
        <v>124</v>
      </c>
      <c r="O76" s="76" t="s">
        <v>124</v>
      </c>
      <c r="P76" s="76" t="s">
        <v>124</v>
      </c>
      <c r="Q76" s="76" t="s">
        <v>124</v>
      </c>
      <c r="R76" s="83"/>
      <c r="S76" s="83"/>
    </row>
    <row r="77" spans="1:19" x14ac:dyDescent="0.25">
      <c r="A77" s="82">
        <v>73</v>
      </c>
      <c r="B77" s="57" t="s">
        <v>486</v>
      </c>
      <c r="C77" s="57" t="s">
        <v>31</v>
      </c>
      <c r="D77" s="83" t="s">
        <v>496</v>
      </c>
      <c r="E77" s="83" t="s">
        <v>128</v>
      </c>
      <c r="F77" s="82">
        <v>80400</v>
      </c>
      <c r="G77" s="83" t="s">
        <v>189</v>
      </c>
      <c r="H77" s="88"/>
      <c r="I77" s="54">
        <v>720000</v>
      </c>
      <c r="J77" s="54">
        <f t="shared" si="5"/>
        <v>720000</v>
      </c>
      <c r="K77" s="58" t="s">
        <v>124</v>
      </c>
      <c r="L77" s="56">
        <f t="shared" si="4"/>
        <v>36000</v>
      </c>
      <c r="M77" s="76" t="s">
        <v>124</v>
      </c>
      <c r="N77" s="76" t="s">
        <v>124</v>
      </c>
      <c r="O77" s="76" t="s">
        <v>124</v>
      </c>
      <c r="P77" s="76" t="s">
        <v>124</v>
      </c>
      <c r="Q77" s="76" t="s">
        <v>124</v>
      </c>
      <c r="R77" s="83"/>
      <c r="S77" s="83"/>
    </row>
    <row r="78" spans="1:19" x14ac:dyDescent="0.25">
      <c r="A78" s="82">
        <v>74</v>
      </c>
      <c r="B78" s="57" t="s">
        <v>486</v>
      </c>
      <c r="C78" s="57" t="s">
        <v>31</v>
      </c>
      <c r="D78" s="83" t="s">
        <v>319</v>
      </c>
      <c r="E78" s="83" t="s">
        <v>320</v>
      </c>
      <c r="F78" s="82">
        <v>82700</v>
      </c>
      <c r="G78" s="83" t="s">
        <v>262</v>
      </c>
      <c r="H78" s="88"/>
      <c r="I78" s="54">
        <v>483020</v>
      </c>
      <c r="J78" s="54">
        <f t="shared" si="5"/>
        <v>483020</v>
      </c>
      <c r="K78" s="58" t="s">
        <v>124</v>
      </c>
      <c r="L78" s="56">
        <f t="shared" si="4"/>
        <v>24151</v>
      </c>
      <c r="M78" s="76" t="s">
        <v>124</v>
      </c>
      <c r="N78" s="76" t="s">
        <v>124</v>
      </c>
      <c r="O78" s="76" t="s">
        <v>124</v>
      </c>
      <c r="P78" s="76" t="s">
        <v>124</v>
      </c>
      <c r="Q78" s="76" t="s">
        <v>124</v>
      </c>
      <c r="R78" s="83"/>
      <c r="S78" s="83"/>
    </row>
    <row r="79" spans="1:19" x14ac:dyDescent="0.25">
      <c r="A79" s="82">
        <v>75</v>
      </c>
      <c r="B79" s="57" t="s">
        <v>486</v>
      </c>
      <c r="C79" s="57" t="s">
        <v>31</v>
      </c>
      <c r="D79" s="83" t="s">
        <v>321</v>
      </c>
      <c r="E79" s="83" t="s">
        <v>322</v>
      </c>
      <c r="F79" s="82">
        <v>81270</v>
      </c>
      <c r="G79" s="83" t="s">
        <v>34</v>
      </c>
      <c r="H79" s="88"/>
      <c r="I79" s="54">
        <v>483020</v>
      </c>
      <c r="J79" s="54">
        <f t="shared" si="5"/>
        <v>483020</v>
      </c>
      <c r="K79" s="58" t="s">
        <v>124</v>
      </c>
      <c r="L79" s="56">
        <f t="shared" si="4"/>
        <v>24151</v>
      </c>
      <c r="M79" s="76" t="s">
        <v>124</v>
      </c>
      <c r="N79" s="76" t="s">
        <v>124</v>
      </c>
      <c r="O79" s="76" t="s">
        <v>124</v>
      </c>
      <c r="P79" s="76" t="s">
        <v>124</v>
      </c>
      <c r="Q79" s="76" t="s">
        <v>124</v>
      </c>
      <c r="R79" s="83"/>
      <c r="S79" s="83"/>
    </row>
    <row r="80" spans="1:19" x14ac:dyDescent="0.25">
      <c r="A80" s="82">
        <v>76</v>
      </c>
      <c r="B80" s="57" t="s">
        <v>486</v>
      </c>
      <c r="C80" s="57" t="s">
        <v>31</v>
      </c>
      <c r="D80" s="83" t="s">
        <v>323</v>
      </c>
      <c r="E80" s="83" t="s">
        <v>324</v>
      </c>
      <c r="F80" s="82">
        <v>82017</v>
      </c>
      <c r="G80" s="83" t="s">
        <v>101</v>
      </c>
      <c r="H80" s="88"/>
      <c r="I80" s="54">
        <v>146700</v>
      </c>
      <c r="J80" s="54">
        <f t="shared" si="5"/>
        <v>146700</v>
      </c>
      <c r="K80" s="58" t="s">
        <v>124</v>
      </c>
      <c r="L80" s="56">
        <f t="shared" si="4"/>
        <v>7335</v>
      </c>
      <c r="M80" s="76" t="s">
        <v>124</v>
      </c>
      <c r="N80" s="76" t="s">
        <v>124</v>
      </c>
      <c r="O80" s="76" t="s">
        <v>124</v>
      </c>
      <c r="P80" s="76" t="s">
        <v>124</v>
      </c>
      <c r="Q80" s="76" t="s">
        <v>124</v>
      </c>
      <c r="R80" s="83"/>
      <c r="S80" s="83"/>
    </row>
    <row r="81" spans="1:19" x14ac:dyDescent="0.25">
      <c r="A81" s="82">
        <v>77</v>
      </c>
      <c r="B81" s="57" t="s">
        <v>486</v>
      </c>
      <c r="C81" s="57" t="s">
        <v>31</v>
      </c>
      <c r="D81" s="83" t="s">
        <v>129</v>
      </c>
      <c r="E81" s="83" t="s">
        <v>325</v>
      </c>
      <c r="F81" s="82">
        <v>82017</v>
      </c>
      <c r="G81" s="83" t="s">
        <v>101</v>
      </c>
      <c r="H81" s="88"/>
      <c r="I81" s="54">
        <v>1091020</v>
      </c>
      <c r="J81" s="54">
        <f t="shared" si="5"/>
        <v>1091020</v>
      </c>
      <c r="K81" s="58" t="s">
        <v>124</v>
      </c>
      <c r="L81" s="56">
        <f t="shared" si="4"/>
        <v>54551</v>
      </c>
      <c r="M81" s="76" t="s">
        <v>124</v>
      </c>
      <c r="N81" s="76" t="s">
        <v>124</v>
      </c>
      <c r="O81" s="76" t="s">
        <v>124</v>
      </c>
      <c r="P81" s="76" t="s">
        <v>124</v>
      </c>
      <c r="Q81" s="76" t="s">
        <v>124</v>
      </c>
      <c r="R81" s="83"/>
      <c r="S81" s="83"/>
    </row>
    <row r="82" spans="1:19" x14ac:dyDescent="0.25">
      <c r="A82" s="82">
        <v>78</v>
      </c>
      <c r="B82" s="57" t="s">
        <v>486</v>
      </c>
      <c r="C82" s="57" t="s">
        <v>31</v>
      </c>
      <c r="D82" s="83" t="s">
        <v>326</v>
      </c>
      <c r="E82" s="83" t="s">
        <v>327</v>
      </c>
      <c r="F82" s="82">
        <v>82016</v>
      </c>
      <c r="G82" s="83" t="s">
        <v>101</v>
      </c>
      <c r="H82" s="88"/>
      <c r="I82" s="54">
        <v>74000</v>
      </c>
      <c r="J82" s="54">
        <f t="shared" si="5"/>
        <v>74000</v>
      </c>
      <c r="K82" s="58" t="s">
        <v>124</v>
      </c>
      <c r="L82" s="56">
        <f t="shared" si="4"/>
        <v>3700</v>
      </c>
      <c r="M82" s="76" t="s">
        <v>124</v>
      </c>
      <c r="N82" s="76" t="s">
        <v>124</v>
      </c>
      <c r="O82" s="76" t="s">
        <v>124</v>
      </c>
      <c r="P82" s="76" t="s">
        <v>124</v>
      </c>
      <c r="Q82" s="76" t="s">
        <v>124</v>
      </c>
      <c r="R82" s="83"/>
      <c r="S82" s="83"/>
    </row>
    <row r="83" spans="1:19" x14ac:dyDescent="0.25">
      <c r="A83" s="82">
        <v>79</v>
      </c>
      <c r="B83" s="57" t="s">
        <v>486</v>
      </c>
      <c r="C83" s="57" t="s">
        <v>31</v>
      </c>
      <c r="D83" s="83" t="s">
        <v>497</v>
      </c>
      <c r="E83" s="83" t="s">
        <v>329</v>
      </c>
      <c r="F83" s="82">
        <v>81000</v>
      </c>
      <c r="G83" s="83" t="s">
        <v>4</v>
      </c>
      <c r="H83" s="88"/>
      <c r="I83" s="54">
        <v>840000</v>
      </c>
      <c r="J83" s="54">
        <f t="shared" si="5"/>
        <v>840000</v>
      </c>
      <c r="K83" s="58" t="s">
        <v>124</v>
      </c>
      <c r="L83" s="56">
        <f t="shared" si="4"/>
        <v>42000</v>
      </c>
      <c r="M83" s="76" t="s">
        <v>124</v>
      </c>
      <c r="N83" s="76" t="s">
        <v>124</v>
      </c>
      <c r="O83" s="76" t="s">
        <v>124</v>
      </c>
      <c r="P83" s="76" t="s">
        <v>124</v>
      </c>
      <c r="Q83" s="76" t="s">
        <v>124</v>
      </c>
      <c r="R83" s="83"/>
      <c r="S83" s="83"/>
    </row>
    <row r="84" spans="1:19" x14ac:dyDescent="0.25">
      <c r="A84" s="82">
        <v>80</v>
      </c>
      <c r="B84" s="57" t="s">
        <v>486</v>
      </c>
      <c r="C84" s="57" t="s">
        <v>31</v>
      </c>
      <c r="D84" s="83" t="s">
        <v>330</v>
      </c>
      <c r="E84" s="83" t="s">
        <v>331</v>
      </c>
      <c r="F84" s="82">
        <v>81077</v>
      </c>
      <c r="G84" s="83" t="s">
        <v>4</v>
      </c>
      <c r="H84" s="88"/>
      <c r="I84" s="54">
        <v>212000</v>
      </c>
      <c r="J84" s="54">
        <f t="shared" si="5"/>
        <v>212000</v>
      </c>
      <c r="K84" s="58" t="s">
        <v>124</v>
      </c>
      <c r="L84" s="56">
        <f t="shared" si="4"/>
        <v>10600</v>
      </c>
      <c r="M84" s="76" t="s">
        <v>124</v>
      </c>
      <c r="N84" s="76" t="s">
        <v>124</v>
      </c>
      <c r="O84" s="76" t="s">
        <v>124</v>
      </c>
      <c r="P84" s="76" t="s">
        <v>124</v>
      </c>
      <c r="Q84" s="76" t="s">
        <v>124</v>
      </c>
      <c r="R84" s="83"/>
      <c r="S84" s="83"/>
    </row>
    <row r="85" spans="1:19" x14ac:dyDescent="0.25">
      <c r="A85" s="82">
        <v>81</v>
      </c>
      <c r="B85" s="57" t="s">
        <v>486</v>
      </c>
      <c r="C85" s="57" t="s">
        <v>31</v>
      </c>
      <c r="D85" s="83" t="s">
        <v>332</v>
      </c>
      <c r="E85" s="83" t="s">
        <v>333</v>
      </c>
      <c r="F85" s="82">
        <v>82017</v>
      </c>
      <c r="G85" s="83" t="s">
        <v>101</v>
      </c>
      <c r="H85" s="88"/>
      <c r="I85" s="54">
        <v>212000</v>
      </c>
      <c r="J85" s="54">
        <f t="shared" si="5"/>
        <v>212000</v>
      </c>
      <c r="K85" s="58" t="s">
        <v>124</v>
      </c>
      <c r="L85" s="56">
        <f t="shared" si="4"/>
        <v>10600</v>
      </c>
      <c r="M85" s="76" t="s">
        <v>124</v>
      </c>
      <c r="N85" s="76" t="s">
        <v>124</v>
      </c>
      <c r="O85" s="76" t="s">
        <v>124</v>
      </c>
      <c r="P85" s="76" t="s">
        <v>124</v>
      </c>
      <c r="Q85" s="76" t="s">
        <v>124</v>
      </c>
      <c r="R85" s="83"/>
      <c r="S85" s="83"/>
    </row>
    <row r="86" spans="1:19" x14ac:dyDescent="0.25">
      <c r="A86" s="82">
        <v>82</v>
      </c>
      <c r="B86" s="57" t="s">
        <v>486</v>
      </c>
      <c r="C86" s="57" t="s">
        <v>31</v>
      </c>
      <c r="D86" s="83" t="s">
        <v>330</v>
      </c>
      <c r="E86" s="83" t="s">
        <v>334</v>
      </c>
      <c r="F86" s="82">
        <v>80060</v>
      </c>
      <c r="G86" s="83" t="s">
        <v>5</v>
      </c>
      <c r="H86" s="88"/>
      <c r="I86" s="54">
        <v>212000</v>
      </c>
      <c r="J86" s="54">
        <f t="shared" si="5"/>
        <v>212000</v>
      </c>
      <c r="K86" s="58" t="s">
        <v>124</v>
      </c>
      <c r="L86" s="56">
        <f t="shared" si="4"/>
        <v>10600</v>
      </c>
      <c r="M86" s="76" t="s">
        <v>124</v>
      </c>
      <c r="N86" s="76" t="s">
        <v>124</v>
      </c>
      <c r="O86" s="76" t="s">
        <v>124</v>
      </c>
      <c r="P86" s="76" t="s">
        <v>124</v>
      </c>
      <c r="Q86" s="76" t="s">
        <v>124</v>
      </c>
      <c r="R86" s="83"/>
      <c r="S86" s="83"/>
    </row>
    <row r="87" spans="1:19" x14ac:dyDescent="0.25">
      <c r="A87" s="82">
        <v>83</v>
      </c>
      <c r="B87" s="57" t="s">
        <v>486</v>
      </c>
      <c r="C87" s="57" t="s">
        <v>31</v>
      </c>
      <c r="D87" s="83" t="s">
        <v>335</v>
      </c>
      <c r="E87" s="83" t="s">
        <v>336</v>
      </c>
      <c r="F87" s="82">
        <v>82010</v>
      </c>
      <c r="G87" s="83" t="s">
        <v>101</v>
      </c>
      <c r="H87" s="88"/>
      <c r="I87" s="54">
        <v>1567500</v>
      </c>
      <c r="J87" s="54">
        <f t="shared" si="5"/>
        <v>1567500</v>
      </c>
      <c r="K87" s="58" t="s">
        <v>124</v>
      </c>
      <c r="L87" s="56">
        <f t="shared" si="4"/>
        <v>78375</v>
      </c>
      <c r="M87" s="76" t="s">
        <v>124</v>
      </c>
      <c r="N87" s="76" t="s">
        <v>124</v>
      </c>
      <c r="O87" s="76" t="s">
        <v>124</v>
      </c>
      <c r="P87" s="76" t="s">
        <v>124</v>
      </c>
      <c r="Q87" s="76" t="s">
        <v>124</v>
      </c>
      <c r="R87" s="83"/>
      <c r="S87" s="83"/>
    </row>
    <row r="88" spans="1:19" x14ac:dyDescent="0.25">
      <c r="A88" s="82">
        <v>84</v>
      </c>
      <c r="B88" s="57" t="s">
        <v>486</v>
      </c>
      <c r="C88" s="57" t="s">
        <v>31</v>
      </c>
      <c r="D88" s="83" t="s">
        <v>337</v>
      </c>
      <c r="E88" s="83" t="s">
        <v>338</v>
      </c>
      <c r="F88" s="82">
        <v>80324</v>
      </c>
      <c r="G88" s="83" t="s">
        <v>130</v>
      </c>
      <c r="H88" s="88"/>
      <c r="I88" s="54">
        <v>620000</v>
      </c>
      <c r="J88" s="54">
        <f t="shared" si="5"/>
        <v>620000</v>
      </c>
      <c r="K88" s="58" t="s">
        <v>124</v>
      </c>
      <c r="L88" s="56">
        <f t="shared" si="4"/>
        <v>31000</v>
      </c>
      <c r="M88" s="76" t="s">
        <v>124</v>
      </c>
      <c r="N88" s="76" t="s">
        <v>124</v>
      </c>
      <c r="O88" s="76" t="s">
        <v>124</v>
      </c>
      <c r="P88" s="76" t="s">
        <v>124</v>
      </c>
      <c r="Q88" s="76" t="s">
        <v>124</v>
      </c>
      <c r="R88" s="83"/>
      <c r="S88" s="83"/>
    </row>
    <row r="89" spans="1:19" x14ac:dyDescent="0.25">
      <c r="A89" s="82">
        <v>85</v>
      </c>
      <c r="B89" s="57" t="s">
        <v>486</v>
      </c>
      <c r="C89" s="57" t="s">
        <v>31</v>
      </c>
      <c r="D89" s="83" t="s">
        <v>339</v>
      </c>
      <c r="E89" s="83" t="s">
        <v>340</v>
      </c>
      <c r="F89" s="82">
        <v>82000</v>
      </c>
      <c r="G89" s="83" t="s">
        <v>50</v>
      </c>
      <c r="H89" s="88"/>
      <c r="I89" s="54">
        <v>216000</v>
      </c>
      <c r="J89" s="54">
        <f t="shared" si="5"/>
        <v>216000</v>
      </c>
      <c r="K89" s="58" t="s">
        <v>124</v>
      </c>
      <c r="L89" s="56">
        <f t="shared" si="4"/>
        <v>10800</v>
      </c>
      <c r="M89" s="76" t="s">
        <v>124</v>
      </c>
      <c r="N89" s="76" t="s">
        <v>124</v>
      </c>
      <c r="O89" s="76" t="s">
        <v>124</v>
      </c>
      <c r="P89" s="76" t="s">
        <v>124</v>
      </c>
      <c r="Q89" s="76" t="s">
        <v>124</v>
      </c>
      <c r="R89" s="83"/>
      <c r="S89" s="83"/>
    </row>
    <row r="90" spans="1:19" x14ac:dyDescent="0.25">
      <c r="A90" s="82">
        <v>86</v>
      </c>
      <c r="B90" s="57" t="s">
        <v>486</v>
      </c>
      <c r="C90" s="57" t="s">
        <v>31</v>
      </c>
      <c r="D90" s="83" t="s">
        <v>341</v>
      </c>
      <c r="E90" s="83" t="s">
        <v>342</v>
      </c>
      <c r="F90" s="82">
        <v>81259</v>
      </c>
      <c r="G90" s="83" t="s">
        <v>34</v>
      </c>
      <c r="H90" s="88"/>
      <c r="I90" s="54">
        <v>121500</v>
      </c>
      <c r="J90" s="54">
        <f t="shared" si="5"/>
        <v>121500</v>
      </c>
      <c r="K90" s="58" t="s">
        <v>124</v>
      </c>
      <c r="L90" s="56">
        <f t="shared" si="4"/>
        <v>6075</v>
      </c>
      <c r="M90" s="76" t="s">
        <v>124</v>
      </c>
      <c r="N90" s="76" t="s">
        <v>124</v>
      </c>
      <c r="O90" s="76" t="s">
        <v>124</v>
      </c>
      <c r="P90" s="76" t="s">
        <v>124</v>
      </c>
      <c r="Q90" s="76" t="s">
        <v>124</v>
      </c>
      <c r="R90" s="83"/>
      <c r="S90" s="83"/>
    </row>
    <row r="91" spans="1:19" x14ac:dyDescent="0.25">
      <c r="A91" s="82">
        <v>87</v>
      </c>
      <c r="B91" s="57" t="s">
        <v>486</v>
      </c>
      <c r="C91" s="57" t="s">
        <v>31</v>
      </c>
      <c r="D91" s="83" t="s">
        <v>343</v>
      </c>
      <c r="E91" s="83" t="s">
        <v>344</v>
      </c>
      <c r="F91" s="82">
        <v>81254</v>
      </c>
      <c r="G91" s="83" t="s">
        <v>34</v>
      </c>
      <c r="H91" s="88"/>
      <c r="I91" s="54">
        <v>240000</v>
      </c>
      <c r="J91" s="54">
        <f t="shared" si="5"/>
        <v>240000</v>
      </c>
      <c r="K91" s="58" t="s">
        <v>124</v>
      </c>
      <c r="L91" s="56">
        <f t="shared" si="4"/>
        <v>12000</v>
      </c>
      <c r="M91" s="76" t="s">
        <v>124</v>
      </c>
      <c r="N91" s="76" t="s">
        <v>124</v>
      </c>
      <c r="O91" s="76" t="s">
        <v>124</v>
      </c>
      <c r="P91" s="76" t="s">
        <v>124</v>
      </c>
      <c r="Q91" s="76" t="s">
        <v>124</v>
      </c>
      <c r="R91" s="83"/>
      <c r="S91" s="83"/>
    </row>
    <row r="92" spans="1:19" x14ac:dyDescent="0.25">
      <c r="A92" s="82">
        <v>88</v>
      </c>
      <c r="B92" s="57" t="s">
        <v>486</v>
      </c>
      <c r="C92" s="57" t="s">
        <v>31</v>
      </c>
      <c r="D92" s="83" t="s">
        <v>345</v>
      </c>
      <c r="E92" s="83" t="s">
        <v>346</v>
      </c>
      <c r="F92" s="82">
        <v>82210</v>
      </c>
      <c r="G92" s="83" t="s">
        <v>101</v>
      </c>
      <c r="H92" s="88"/>
      <c r="I92" s="54">
        <v>240000</v>
      </c>
      <c r="J92" s="54">
        <f t="shared" si="5"/>
        <v>240000</v>
      </c>
      <c r="K92" s="58" t="s">
        <v>124</v>
      </c>
      <c r="L92" s="56">
        <f t="shared" si="4"/>
        <v>12000</v>
      </c>
      <c r="M92" s="76" t="s">
        <v>124</v>
      </c>
      <c r="N92" s="76" t="s">
        <v>124</v>
      </c>
      <c r="O92" s="76" t="s">
        <v>124</v>
      </c>
      <c r="P92" s="76" t="s">
        <v>124</v>
      </c>
      <c r="Q92" s="76" t="s">
        <v>124</v>
      </c>
      <c r="R92" s="83"/>
      <c r="S92" s="83"/>
    </row>
    <row r="93" spans="1:19" x14ac:dyDescent="0.25">
      <c r="A93" s="82">
        <v>89</v>
      </c>
      <c r="B93" s="57" t="s">
        <v>486</v>
      </c>
      <c r="C93" s="57" t="s">
        <v>31</v>
      </c>
      <c r="D93" s="83" t="s">
        <v>348</v>
      </c>
      <c r="E93" s="83" t="s">
        <v>349</v>
      </c>
      <c r="F93" s="82">
        <v>80020</v>
      </c>
      <c r="G93" s="83" t="s">
        <v>5</v>
      </c>
      <c r="H93" s="88"/>
      <c r="I93" s="54">
        <v>488000</v>
      </c>
      <c r="J93" s="54">
        <f t="shared" si="5"/>
        <v>488000</v>
      </c>
      <c r="K93" s="58" t="s">
        <v>124</v>
      </c>
      <c r="L93" s="56">
        <f t="shared" si="4"/>
        <v>24400</v>
      </c>
      <c r="M93" s="76" t="s">
        <v>124</v>
      </c>
      <c r="N93" s="76" t="s">
        <v>124</v>
      </c>
      <c r="O93" s="76" t="s">
        <v>124</v>
      </c>
      <c r="P93" s="76" t="s">
        <v>124</v>
      </c>
      <c r="Q93" s="76" t="s">
        <v>124</v>
      </c>
      <c r="R93" s="83"/>
      <c r="S93" s="83"/>
    </row>
    <row r="94" spans="1:19" x14ac:dyDescent="0.25">
      <c r="A94" s="82">
        <v>90</v>
      </c>
      <c r="B94" s="57" t="s">
        <v>486</v>
      </c>
      <c r="C94" s="57" t="s">
        <v>31</v>
      </c>
      <c r="D94" s="83" t="s">
        <v>350</v>
      </c>
      <c r="E94" s="83" t="s">
        <v>351</v>
      </c>
      <c r="F94" s="82">
        <v>82148</v>
      </c>
      <c r="G94" s="83" t="s">
        <v>101</v>
      </c>
      <c r="H94" s="88"/>
      <c r="I94" s="54">
        <v>538560</v>
      </c>
      <c r="J94" s="54">
        <f t="shared" si="5"/>
        <v>538560</v>
      </c>
      <c r="K94" s="58" t="s">
        <v>124</v>
      </c>
      <c r="L94" s="56">
        <f t="shared" si="4"/>
        <v>26928</v>
      </c>
      <c r="M94" s="76" t="s">
        <v>124</v>
      </c>
      <c r="N94" s="76" t="s">
        <v>124</v>
      </c>
      <c r="O94" s="76" t="s">
        <v>124</v>
      </c>
      <c r="P94" s="76" t="s">
        <v>124</v>
      </c>
      <c r="Q94" s="76" t="s">
        <v>124</v>
      </c>
      <c r="R94" s="83"/>
      <c r="S94" s="83"/>
    </row>
    <row r="95" spans="1:19" x14ac:dyDescent="0.25">
      <c r="A95" s="82">
        <v>91</v>
      </c>
      <c r="B95" s="57" t="s">
        <v>486</v>
      </c>
      <c r="C95" s="57" t="s">
        <v>31</v>
      </c>
      <c r="D95" s="83" t="s">
        <v>352</v>
      </c>
      <c r="E95" s="83" t="s">
        <v>353</v>
      </c>
      <c r="F95" s="82">
        <v>81260</v>
      </c>
      <c r="G95" s="83" t="s">
        <v>34</v>
      </c>
      <c r="H95" s="88"/>
      <c r="I95" s="54">
        <v>120000</v>
      </c>
      <c r="J95" s="54">
        <f t="shared" si="5"/>
        <v>120000</v>
      </c>
      <c r="K95" s="58" t="s">
        <v>124</v>
      </c>
      <c r="L95" s="56">
        <f t="shared" si="4"/>
        <v>6000</v>
      </c>
      <c r="M95" s="76" t="s">
        <v>124</v>
      </c>
      <c r="N95" s="76" t="s">
        <v>124</v>
      </c>
      <c r="O95" s="76" t="s">
        <v>124</v>
      </c>
      <c r="P95" s="76" t="s">
        <v>124</v>
      </c>
      <c r="Q95" s="76" t="s">
        <v>124</v>
      </c>
      <c r="R95" s="83"/>
      <c r="S95" s="83"/>
    </row>
    <row r="96" spans="1:19" x14ac:dyDescent="0.25">
      <c r="A96" s="82">
        <v>92</v>
      </c>
      <c r="B96" s="57" t="s">
        <v>486</v>
      </c>
      <c r="C96" s="57" t="s">
        <v>31</v>
      </c>
      <c r="D96" s="83" t="s">
        <v>354</v>
      </c>
      <c r="E96" s="83" t="s">
        <v>355</v>
      </c>
      <c r="F96" s="82">
        <v>80000</v>
      </c>
      <c r="G96" s="83" t="s">
        <v>5</v>
      </c>
      <c r="H96" s="88"/>
      <c r="I96" s="54">
        <v>1386120</v>
      </c>
      <c r="J96" s="54">
        <f t="shared" si="5"/>
        <v>1386120</v>
      </c>
      <c r="K96" s="58" t="s">
        <v>124</v>
      </c>
      <c r="L96" s="56">
        <f t="shared" si="4"/>
        <v>69306</v>
      </c>
      <c r="M96" s="76" t="s">
        <v>124</v>
      </c>
      <c r="N96" s="76" t="s">
        <v>124</v>
      </c>
      <c r="O96" s="76" t="s">
        <v>124</v>
      </c>
      <c r="P96" s="76" t="s">
        <v>124</v>
      </c>
      <c r="Q96" s="76" t="s">
        <v>124</v>
      </c>
      <c r="R96" s="83"/>
      <c r="S96" s="83"/>
    </row>
    <row r="97" spans="1:19" x14ac:dyDescent="0.25">
      <c r="A97" s="82">
        <v>93</v>
      </c>
      <c r="B97" s="57" t="s">
        <v>486</v>
      </c>
      <c r="C97" s="57" t="s">
        <v>31</v>
      </c>
      <c r="D97" s="83" t="s">
        <v>356</v>
      </c>
      <c r="E97" s="83" t="s">
        <v>357</v>
      </c>
      <c r="F97" s="82">
        <v>82138</v>
      </c>
      <c r="G97" s="83" t="s">
        <v>101</v>
      </c>
      <c r="H97" s="88"/>
      <c r="I97" s="54">
        <v>290540</v>
      </c>
      <c r="J97" s="54">
        <f t="shared" si="5"/>
        <v>290540</v>
      </c>
      <c r="K97" s="58" t="s">
        <v>124</v>
      </c>
      <c r="L97" s="56">
        <f t="shared" si="4"/>
        <v>14527</v>
      </c>
      <c r="M97" s="76" t="s">
        <v>124</v>
      </c>
      <c r="N97" s="76" t="s">
        <v>124</v>
      </c>
      <c r="O97" s="76" t="s">
        <v>124</v>
      </c>
      <c r="P97" s="76" t="s">
        <v>124</v>
      </c>
      <c r="Q97" s="76" t="s">
        <v>124</v>
      </c>
      <c r="R97" s="83"/>
      <c r="S97" s="83"/>
    </row>
    <row r="98" spans="1:19" x14ac:dyDescent="0.25">
      <c r="A98" s="82">
        <v>94</v>
      </c>
      <c r="B98" s="57" t="s">
        <v>486</v>
      </c>
      <c r="C98" s="57" t="s">
        <v>31</v>
      </c>
      <c r="D98" s="83" t="s">
        <v>358</v>
      </c>
      <c r="E98" s="83" t="s">
        <v>359</v>
      </c>
      <c r="F98" s="82">
        <v>82010</v>
      </c>
      <c r="G98" s="83" t="s">
        <v>101</v>
      </c>
      <c r="H98" s="88"/>
      <c r="I98" s="54">
        <v>251700</v>
      </c>
      <c r="J98" s="54">
        <f t="shared" si="5"/>
        <v>251700</v>
      </c>
      <c r="K98" s="58" t="s">
        <v>124</v>
      </c>
      <c r="L98" s="56">
        <f t="shared" si="4"/>
        <v>12585</v>
      </c>
      <c r="M98" s="76" t="s">
        <v>124</v>
      </c>
      <c r="N98" s="76" t="s">
        <v>124</v>
      </c>
      <c r="O98" s="76" t="s">
        <v>124</v>
      </c>
      <c r="P98" s="76" t="s">
        <v>124</v>
      </c>
      <c r="Q98" s="76" t="s">
        <v>124</v>
      </c>
      <c r="R98" s="83"/>
      <c r="S98" s="83"/>
    </row>
    <row r="99" spans="1:19" x14ac:dyDescent="0.25">
      <c r="A99" s="82">
        <v>95</v>
      </c>
      <c r="B99" s="57" t="s">
        <v>486</v>
      </c>
      <c r="C99" s="57" t="s">
        <v>31</v>
      </c>
      <c r="D99" s="83" t="s">
        <v>360</v>
      </c>
      <c r="E99" s="83" t="s">
        <v>361</v>
      </c>
      <c r="F99" s="82">
        <v>80000</v>
      </c>
      <c r="G99" s="83" t="s">
        <v>5</v>
      </c>
      <c r="H99" s="88"/>
      <c r="I99" s="54">
        <v>252000</v>
      </c>
      <c r="J99" s="54">
        <f t="shared" si="5"/>
        <v>252000</v>
      </c>
      <c r="K99" s="58" t="s">
        <v>124</v>
      </c>
      <c r="L99" s="56">
        <f t="shared" si="4"/>
        <v>12600</v>
      </c>
      <c r="M99" s="76" t="s">
        <v>124</v>
      </c>
      <c r="N99" s="76" t="s">
        <v>124</v>
      </c>
      <c r="O99" s="76" t="s">
        <v>124</v>
      </c>
      <c r="P99" s="76" t="s">
        <v>124</v>
      </c>
      <c r="Q99" s="76" t="s">
        <v>124</v>
      </c>
      <c r="R99" s="83"/>
      <c r="S99" s="83"/>
    </row>
    <row r="100" spans="1:19" x14ac:dyDescent="0.25">
      <c r="A100" s="82">
        <v>96</v>
      </c>
      <c r="B100" s="57" t="s">
        <v>486</v>
      </c>
      <c r="C100" s="57" t="s">
        <v>31</v>
      </c>
      <c r="D100" s="83" t="s">
        <v>362</v>
      </c>
      <c r="E100" s="83" t="s">
        <v>363</v>
      </c>
      <c r="F100" s="82">
        <v>82180</v>
      </c>
      <c r="G100" s="83" t="s">
        <v>11</v>
      </c>
      <c r="H100" s="88"/>
      <c r="I100" s="54">
        <v>400000</v>
      </c>
      <c r="J100" s="54">
        <f t="shared" si="5"/>
        <v>400000</v>
      </c>
      <c r="K100" s="58" t="s">
        <v>124</v>
      </c>
      <c r="L100" s="56">
        <f t="shared" si="4"/>
        <v>20000</v>
      </c>
      <c r="M100" s="76" t="s">
        <v>124</v>
      </c>
      <c r="N100" s="76" t="s">
        <v>124</v>
      </c>
      <c r="O100" s="76" t="s">
        <v>124</v>
      </c>
      <c r="P100" s="76" t="s">
        <v>124</v>
      </c>
      <c r="Q100" s="76" t="s">
        <v>124</v>
      </c>
      <c r="R100" s="83"/>
      <c r="S100" s="83"/>
    </row>
    <row r="101" spans="1:19" x14ac:dyDescent="0.25">
      <c r="A101" s="82">
        <v>97</v>
      </c>
      <c r="B101" s="57" t="s">
        <v>486</v>
      </c>
      <c r="C101" s="57" t="s">
        <v>31</v>
      </c>
      <c r="D101" s="83" t="s">
        <v>364</v>
      </c>
      <c r="E101" s="83" t="s">
        <v>365</v>
      </c>
      <c r="F101" s="82">
        <v>81802</v>
      </c>
      <c r="G101" s="83" t="s">
        <v>126</v>
      </c>
      <c r="H101" s="88"/>
      <c r="I101" s="54">
        <v>436000</v>
      </c>
      <c r="J101" s="54">
        <f t="shared" si="5"/>
        <v>436000</v>
      </c>
      <c r="K101" s="58" t="s">
        <v>124</v>
      </c>
      <c r="L101" s="56">
        <f t="shared" si="4"/>
        <v>21800</v>
      </c>
      <c r="M101" s="76" t="s">
        <v>124</v>
      </c>
      <c r="N101" s="76" t="s">
        <v>124</v>
      </c>
      <c r="O101" s="76" t="s">
        <v>124</v>
      </c>
      <c r="P101" s="76" t="s">
        <v>124</v>
      </c>
      <c r="Q101" s="76" t="s">
        <v>124</v>
      </c>
      <c r="R101" s="83"/>
      <c r="S101" s="83"/>
    </row>
    <row r="102" spans="1:19" x14ac:dyDescent="0.25">
      <c r="A102" s="82">
        <v>98</v>
      </c>
      <c r="B102" s="57" t="s">
        <v>486</v>
      </c>
      <c r="C102" s="57" t="s">
        <v>31</v>
      </c>
      <c r="D102" s="83" t="s">
        <v>366</v>
      </c>
      <c r="E102" s="83" t="s">
        <v>365</v>
      </c>
      <c r="F102" s="82">
        <v>81802</v>
      </c>
      <c r="G102" s="83" t="s">
        <v>126</v>
      </c>
      <c r="H102" s="88"/>
      <c r="I102" s="54">
        <v>839660</v>
      </c>
      <c r="J102" s="54">
        <f t="shared" si="5"/>
        <v>839660</v>
      </c>
      <c r="K102" s="58" t="s">
        <v>124</v>
      </c>
      <c r="L102" s="56">
        <f t="shared" si="4"/>
        <v>41983</v>
      </c>
      <c r="M102" s="76" t="s">
        <v>124</v>
      </c>
      <c r="N102" s="76" t="s">
        <v>124</v>
      </c>
      <c r="O102" s="76" t="s">
        <v>124</v>
      </c>
      <c r="P102" s="76" t="s">
        <v>124</v>
      </c>
      <c r="Q102" s="76" t="s">
        <v>124</v>
      </c>
      <c r="R102" s="83"/>
      <c r="S102" s="83"/>
    </row>
    <row r="103" spans="1:19" x14ac:dyDescent="0.25">
      <c r="A103" s="82">
        <v>99</v>
      </c>
      <c r="B103" s="57" t="s">
        <v>486</v>
      </c>
      <c r="C103" s="57" t="s">
        <v>31</v>
      </c>
      <c r="D103" s="83" t="s">
        <v>367</v>
      </c>
      <c r="E103" s="83" t="s">
        <v>365</v>
      </c>
      <c r="F103" s="82">
        <v>81802</v>
      </c>
      <c r="G103" s="83" t="s">
        <v>126</v>
      </c>
      <c r="H103" s="88"/>
      <c r="I103" s="54">
        <v>215240</v>
      </c>
      <c r="J103" s="54">
        <f t="shared" si="5"/>
        <v>215240</v>
      </c>
      <c r="K103" s="58" t="s">
        <v>124</v>
      </c>
      <c r="L103" s="56">
        <f t="shared" si="4"/>
        <v>10762</v>
      </c>
      <c r="M103" s="76" t="s">
        <v>124</v>
      </c>
      <c r="N103" s="76" t="s">
        <v>124</v>
      </c>
      <c r="O103" s="76" t="s">
        <v>124</v>
      </c>
      <c r="P103" s="76" t="s">
        <v>124</v>
      </c>
      <c r="Q103" s="76" t="s">
        <v>124</v>
      </c>
      <c r="R103" s="83"/>
      <c r="S103" s="83"/>
    </row>
    <row r="104" spans="1:19" x14ac:dyDescent="0.25">
      <c r="A104" s="82">
        <v>100</v>
      </c>
      <c r="B104" s="57" t="s">
        <v>486</v>
      </c>
      <c r="C104" s="57" t="s">
        <v>31</v>
      </c>
      <c r="D104" s="83" t="s">
        <v>368</v>
      </c>
      <c r="E104" s="83" t="s">
        <v>369</v>
      </c>
      <c r="F104" s="82">
        <v>80000</v>
      </c>
      <c r="G104" s="83" t="s">
        <v>5</v>
      </c>
      <c r="H104" s="88"/>
      <c r="I104" s="54">
        <v>72780</v>
      </c>
      <c r="J104" s="54">
        <f t="shared" si="5"/>
        <v>72780</v>
      </c>
      <c r="K104" s="58" t="s">
        <v>124</v>
      </c>
      <c r="L104" s="56">
        <f t="shared" si="4"/>
        <v>3639</v>
      </c>
      <c r="M104" s="76" t="s">
        <v>124</v>
      </c>
      <c r="N104" s="76" t="s">
        <v>124</v>
      </c>
      <c r="O104" s="76" t="s">
        <v>124</v>
      </c>
      <c r="P104" s="76" t="s">
        <v>124</v>
      </c>
      <c r="Q104" s="76" t="s">
        <v>124</v>
      </c>
      <c r="R104" s="83"/>
      <c r="S104" s="83"/>
    </row>
    <row r="105" spans="1:19" x14ac:dyDescent="0.25">
      <c r="A105" s="82">
        <v>101</v>
      </c>
      <c r="B105" s="57" t="s">
        <v>486</v>
      </c>
      <c r="C105" s="57" t="s">
        <v>31</v>
      </c>
      <c r="D105" s="83" t="s">
        <v>498</v>
      </c>
      <c r="E105" s="83" t="s">
        <v>371</v>
      </c>
      <c r="F105" s="82">
        <v>81200</v>
      </c>
      <c r="G105" s="83" t="s">
        <v>34</v>
      </c>
      <c r="H105" s="88"/>
      <c r="I105" s="54">
        <v>5500000</v>
      </c>
      <c r="J105" s="54">
        <f t="shared" si="5"/>
        <v>5500000</v>
      </c>
      <c r="K105" s="58" t="s">
        <v>124</v>
      </c>
      <c r="L105" s="56">
        <f t="shared" si="4"/>
        <v>275000</v>
      </c>
      <c r="M105" s="76" t="s">
        <v>124</v>
      </c>
      <c r="N105" s="76" t="s">
        <v>124</v>
      </c>
      <c r="O105" s="76" t="s">
        <v>124</v>
      </c>
      <c r="P105" s="76" t="s">
        <v>124</v>
      </c>
      <c r="Q105" s="76" t="s">
        <v>124</v>
      </c>
      <c r="R105" s="83"/>
      <c r="S105" s="83"/>
    </row>
    <row r="106" spans="1:19" x14ac:dyDescent="0.25">
      <c r="A106" s="82">
        <v>102</v>
      </c>
      <c r="B106" s="57" t="s">
        <v>486</v>
      </c>
      <c r="C106" s="57" t="s">
        <v>31</v>
      </c>
      <c r="D106" s="83" t="s">
        <v>499</v>
      </c>
      <c r="E106" s="83" t="s">
        <v>373</v>
      </c>
      <c r="F106" s="82">
        <v>81280</v>
      </c>
      <c r="G106" s="83" t="s">
        <v>34</v>
      </c>
      <c r="H106" s="88"/>
      <c r="I106" s="54">
        <v>681720</v>
      </c>
      <c r="J106" s="54">
        <f t="shared" si="5"/>
        <v>681720</v>
      </c>
      <c r="K106" s="58" t="s">
        <v>124</v>
      </c>
      <c r="L106" s="56">
        <f t="shared" si="4"/>
        <v>34086</v>
      </c>
      <c r="M106" s="76" t="s">
        <v>124</v>
      </c>
      <c r="N106" s="76" t="s">
        <v>124</v>
      </c>
      <c r="O106" s="76" t="s">
        <v>124</v>
      </c>
      <c r="P106" s="76" t="s">
        <v>124</v>
      </c>
      <c r="Q106" s="76" t="s">
        <v>124</v>
      </c>
      <c r="R106" s="83"/>
      <c r="S106" s="83"/>
    </row>
    <row r="107" spans="1:19" x14ac:dyDescent="0.25">
      <c r="A107" s="82">
        <v>103</v>
      </c>
      <c r="B107" s="57" t="s">
        <v>486</v>
      </c>
      <c r="C107" s="57" t="s">
        <v>31</v>
      </c>
      <c r="D107" s="83" t="s">
        <v>374</v>
      </c>
      <c r="E107" s="83" t="s">
        <v>375</v>
      </c>
      <c r="F107" s="82">
        <v>81891</v>
      </c>
      <c r="G107" s="83" t="s">
        <v>126</v>
      </c>
      <c r="H107" s="88"/>
      <c r="I107" s="54">
        <v>1200000</v>
      </c>
      <c r="J107" s="54">
        <f t="shared" si="5"/>
        <v>1200000</v>
      </c>
      <c r="K107" s="58" t="s">
        <v>124</v>
      </c>
      <c r="L107" s="56">
        <f t="shared" ref="L107:L162" si="6">(H107+I107)*5%</f>
        <v>60000</v>
      </c>
      <c r="M107" s="76" t="s">
        <v>124</v>
      </c>
      <c r="N107" s="76" t="s">
        <v>124</v>
      </c>
      <c r="O107" s="76" t="s">
        <v>124</v>
      </c>
      <c r="P107" s="76" t="s">
        <v>124</v>
      </c>
      <c r="Q107" s="76" t="s">
        <v>124</v>
      </c>
      <c r="R107" s="83"/>
      <c r="S107" s="83"/>
    </row>
    <row r="108" spans="1:19" x14ac:dyDescent="0.25">
      <c r="A108" s="82">
        <v>104</v>
      </c>
      <c r="B108" s="57" t="s">
        <v>486</v>
      </c>
      <c r="C108" s="57" t="s">
        <v>31</v>
      </c>
      <c r="D108" s="83" t="s">
        <v>376</v>
      </c>
      <c r="E108" s="83" t="s">
        <v>377</v>
      </c>
      <c r="F108" s="82">
        <v>80080</v>
      </c>
      <c r="G108" s="83" t="s">
        <v>5</v>
      </c>
      <c r="H108" s="88"/>
      <c r="I108" s="54">
        <v>121500</v>
      </c>
      <c r="J108" s="54">
        <f t="shared" ref="J108:J162" si="7">+H108+I108</f>
        <v>121500</v>
      </c>
      <c r="K108" s="58" t="s">
        <v>124</v>
      </c>
      <c r="L108" s="56">
        <f t="shared" si="6"/>
        <v>6075</v>
      </c>
      <c r="M108" s="76" t="s">
        <v>124</v>
      </c>
      <c r="N108" s="76" t="s">
        <v>124</v>
      </c>
      <c r="O108" s="76" t="s">
        <v>124</v>
      </c>
      <c r="P108" s="76" t="s">
        <v>124</v>
      </c>
      <c r="Q108" s="76" t="s">
        <v>124</v>
      </c>
      <c r="R108" s="83"/>
      <c r="S108" s="83"/>
    </row>
    <row r="109" spans="1:19" x14ac:dyDescent="0.25">
      <c r="A109" s="82">
        <v>105</v>
      </c>
      <c r="B109" s="57" t="s">
        <v>486</v>
      </c>
      <c r="C109" s="57" t="s">
        <v>31</v>
      </c>
      <c r="D109" s="83" t="s">
        <v>330</v>
      </c>
      <c r="E109" s="83" t="s">
        <v>379</v>
      </c>
      <c r="F109" s="82">
        <v>82124</v>
      </c>
      <c r="G109" s="83" t="s">
        <v>101</v>
      </c>
      <c r="H109" s="88"/>
      <c r="I109" s="54">
        <v>1139000</v>
      </c>
      <c r="J109" s="54">
        <f t="shared" si="7"/>
        <v>1139000</v>
      </c>
      <c r="K109" s="58" t="s">
        <v>124</v>
      </c>
      <c r="L109" s="56">
        <f t="shared" si="6"/>
        <v>56950</v>
      </c>
      <c r="M109" s="76" t="s">
        <v>124</v>
      </c>
      <c r="N109" s="76" t="s">
        <v>124</v>
      </c>
      <c r="O109" s="76" t="s">
        <v>124</v>
      </c>
      <c r="P109" s="76" t="s">
        <v>124</v>
      </c>
      <c r="Q109" s="76" t="s">
        <v>124</v>
      </c>
      <c r="R109" s="83"/>
      <c r="S109" s="83"/>
    </row>
    <row r="110" spans="1:19" x14ac:dyDescent="0.25">
      <c r="A110" s="82">
        <v>106</v>
      </c>
      <c r="B110" s="57" t="s">
        <v>486</v>
      </c>
      <c r="C110" s="57" t="s">
        <v>31</v>
      </c>
      <c r="D110" s="83" t="s">
        <v>380</v>
      </c>
      <c r="E110" s="83" t="s">
        <v>381</v>
      </c>
      <c r="F110" s="82">
        <v>91340</v>
      </c>
      <c r="G110" s="83" t="s">
        <v>34</v>
      </c>
      <c r="H110" s="88"/>
      <c r="I110" s="54">
        <v>54000</v>
      </c>
      <c r="J110" s="54">
        <f t="shared" si="7"/>
        <v>54000</v>
      </c>
      <c r="K110" s="58" t="s">
        <v>124</v>
      </c>
      <c r="L110" s="56">
        <f t="shared" si="6"/>
        <v>2700</v>
      </c>
      <c r="M110" s="76" t="s">
        <v>124</v>
      </c>
      <c r="N110" s="76" t="s">
        <v>124</v>
      </c>
      <c r="O110" s="76" t="s">
        <v>124</v>
      </c>
      <c r="P110" s="76" t="s">
        <v>124</v>
      </c>
      <c r="Q110" s="76" t="s">
        <v>124</v>
      </c>
      <c r="R110" s="83"/>
      <c r="S110" s="83"/>
    </row>
    <row r="111" spans="1:19" x14ac:dyDescent="0.25">
      <c r="A111" s="82">
        <v>107</v>
      </c>
      <c r="B111" s="57" t="s">
        <v>486</v>
      </c>
      <c r="C111" s="57" t="s">
        <v>31</v>
      </c>
      <c r="D111" s="83" t="s">
        <v>382</v>
      </c>
      <c r="E111" s="83" t="s">
        <v>383</v>
      </c>
      <c r="F111" s="82">
        <v>81369</v>
      </c>
      <c r="G111" s="83" t="s">
        <v>34</v>
      </c>
      <c r="H111" s="88"/>
      <c r="I111" s="54">
        <v>763580</v>
      </c>
      <c r="J111" s="54">
        <f t="shared" si="7"/>
        <v>763580</v>
      </c>
      <c r="K111" s="58" t="s">
        <v>124</v>
      </c>
      <c r="L111" s="56">
        <f t="shared" si="6"/>
        <v>38179</v>
      </c>
      <c r="M111" s="76" t="s">
        <v>124</v>
      </c>
      <c r="N111" s="76" t="s">
        <v>124</v>
      </c>
      <c r="O111" s="76" t="s">
        <v>124</v>
      </c>
      <c r="P111" s="76" t="s">
        <v>124</v>
      </c>
      <c r="Q111" s="76" t="s">
        <v>124</v>
      </c>
      <c r="R111" s="83"/>
      <c r="S111" s="83"/>
    </row>
    <row r="112" spans="1:19" x14ac:dyDescent="0.25">
      <c r="A112" s="82">
        <v>108</v>
      </c>
      <c r="B112" s="57" t="s">
        <v>486</v>
      </c>
      <c r="C112" s="57" t="s">
        <v>31</v>
      </c>
      <c r="D112" s="83" t="s">
        <v>384</v>
      </c>
      <c r="E112" s="83" t="s">
        <v>385</v>
      </c>
      <c r="F112" s="82">
        <v>80320</v>
      </c>
      <c r="G112" s="83" t="s">
        <v>130</v>
      </c>
      <c r="H112" s="88"/>
      <c r="I112" s="54">
        <v>267620</v>
      </c>
      <c r="J112" s="54">
        <f t="shared" si="7"/>
        <v>267620</v>
      </c>
      <c r="K112" s="58" t="s">
        <v>124</v>
      </c>
      <c r="L112" s="56">
        <f t="shared" si="6"/>
        <v>13381</v>
      </c>
      <c r="M112" s="76" t="s">
        <v>124</v>
      </c>
      <c r="N112" s="76" t="s">
        <v>124</v>
      </c>
      <c r="O112" s="76" t="s">
        <v>124</v>
      </c>
      <c r="P112" s="76" t="s">
        <v>124</v>
      </c>
      <c r="Q112" s="76" t="s">
        <v>124</v>
      </c>
      <c r="R112" s="83"/>
      <c r="S112" s="83"/>
    </row>
    <row r="113" spans="1:19" x14ac:dyDescent="0.25">
      <c r="A113" s="82">
        <v>109</v>
      </c>
      <c r="B113" s="57" t="s">
        <v>486</v>
      </c>
      <c r="C113" s="57" t="s">
        <v>31</v>
      </c>
      <c r="D113" s="83" t="s">
        <v>314</v>
      </c>
      <c r="E113" s="83" t="s">
        <v>385</v>
      </c>
      <c r="F113" s="82">
        <v>80320</v>
      </c>
      <c r="G113" s="83" t="s">
        <v>130</v>
      </c>
      <c r="H113" s="88"/>
      <c r="I113" s="54">
        <v>210720</v>
      </c>
      <c r="J113" s="54">
        <f t="shared" si="7"/>
        <v>210720</v>
      </c>
      <c r="K113" s="58" t="s">
        <v>124</v>
      </c>
      <c r="L113" s="56">
        <f t="shared" si="6"/>
        <v>10536</v>
      </c>
      <c r="M113" s="76" t="s">
        <v>124</v>
      </c>
      <c r="N113" s="76" t="s">
        <v>124</v>
      </c>
      <c r="O113" s="76" t="s">
        <v>124</v>
      </c>
      <c r="P113" s="76" t="s">
        <v>124</v>
      </c>
      <c r="Q113" s="76" t="s">
        <v>124</v>
      </c>
      <c r="R113" s="83"/>
      <c r="S113" s="83"/>
    </row>
    <row r="114" spans="1:19" x14ac:dyDescent="0.25">
      <c r="A114" s="82">
        <v>110</v>
      </c>
      <c r="B114" s="57" t="s">
        <v>486</v>
      </c>
      <c r="C114" s="57" t="s">
        <v>31</v>
      </c>
      <c r="D114" s="83" t="s">
        <v>386</v>
      </c>
      <c r="E114" s="83" t="s">
        <v>385</v>
      </c>
      <c r="F114" s="82">
        <v>80320</v>
      </c>
      <c r="G114" s="83" t="s">
        <v>130</v>
      </c>
      <c r="H114" s="88"/>
      <c r="I114" s="54">
        <v>232120</v>
      </c>
      <c r="J114" s="54">
        <f t="shared" si="7"/>
        <v>232120</v>
      </c>
      <c r="K114" s="58" t="s">
        <v>124</v>
      </c>
      <c r="L114" s="56">
        <f t="shared" si="6"/>
        <v>11606</v>
      </c>
      <c r="M114" s="76" t="s">
        <v>124</v>
      </c>
      <c r="N114" s="76" t="s">
        <v>124</v>
      </c>
      <c r="O114" s="76" t="s">
        <v>124</v>
      </c>
      <c r="P114" s="76" t="s">
        <v>124</v>
      </c>
      <c r="Q114" s="76" t="s">
        <v>124</v>
      </c>
      <c r="R114" s="83"/>
      <c r="S114" s="83"/>
    </row>
    <row r="115" spans="1:19" x14ac:dyDescent="0.25">
      <c r="A115" s="82">
        <v>111</v>
      </c>
      <c r="B115" s="57" t="s">
        <v>486</v>
      </c>
      <c r="C115" s="57" t="s">
        <v>31</v>
      </c>
      <c r="D115" s="83" t="s">
        <v>387</v>
      </c>
      <c r="E115" s="83" t="s">
        <v>385</v>
      </c>
      <c r="F115" s="82">
        <v>80320</v>
      </c>
      <c r="G115" s="83" t="s">
        <v>130</v>
      </c>
      <c r="H115" s="88"/>
      <c r="I115" s="54">
        <v>300000</v>
      </c>
      <c r="J115" s="54">
        <f t="shared" si="7"/>
        <v>300000</v>
      </c>
      <c r="K115" s="58" t="s">
        <v>124</v>
      </c>
      <c r="L115" s="56">
        <f t="shared" si="6"/>
        <v>15000</v>
      </c>
      <c r="M115" s="76" t="s">
        <v>124</v>
      </c>
      <c r="N115" s="76" t="s">
        <v>124</v>
      </c>
      <c r="O115" s="76" t="s">
        <v>124</v>
      </c>
      <c r="P115" s="76" t="s">
        <v>124</v>
      </c>
      <c r="Q115" s="76" t="s">
        <v>124</v>
      </c>
      <c r="R115" s="83"/>
      <c r="S115" s="83"/>
    </row>
    <row r="116" spans="1:19" x14ac:dyDescent="0.25">
      <c r="A116" s="82">
        <v>112</v>
      </c>
      <c r="B116" s="57" t="s">
        <v>486</v>
      </c>
      <c r="C116" s="57" t="s">
        <v>31</v>
      </c>
      <c r="D116" s="83" t="s">
        <v>388</v>
      </c>
      <c r="E116" s="83" t="s">
        <v>385</v>
      </c>
      <c r="F116" s="82">
        <v>80320</v>
      </c>
      <c r="G116" s="83" t="s">
        <v>130</v>
      </c>
      <c r="H116" s="88"/>
      <c r="I116" s="54">
        <v>108000</v>
      </c>
      <c r="J116" s="54">
        <f t="shared" si="7"/>
        <v>108000</v>
      </c>
      <c r="K116" s="58" t="s">
        <v>124</v>
      </c>
      <c r="L116" s="56">
        <f t="shared" si="6"/>
        <v>5400</v>
      </c>
      <c r="M116" s="76" t="s">
        <v>124</v>
      </c>
      <c r="N116" s="76" t="s">
        <v>124</v>
      </c>
      <c r="O116" s="76" t="s">
        <v>124</v>
      </c>
      <c r="P116" s="76" t="s">
        <v>124</v>
      </c>
      <c r="Q116" s="76" t="s">
        <v>124</v>
      </c>
      <c r="R116" s="83"/>
      <c r="S116" s="83"/>
    </row>
    <row r="117" spans="1:19" x14ac:dyDescent="0.25">
      <c r="A117" s="82">
        <v>113</v>
      </c>
      <c r="B117" s="57" t="s">
        <v>486</v>
      </c>
      <c r="C117" s="57" t="s">
        <v>31</v>
      </c>
      <c r="D117" s="83" t="s">
        <v>389</v>
      </c>
      <c r="E117" s="83" t="s">
        <v>500</v>
      </c>
      <c r="F117" s="82">
        <v>81280</v>
      </c>
      <c r="G117" s="83" t="s">
        <v>34</v>
      </c>
      <c r="H117" s="88"/>
      <c r="I117" s="54">
        <v>108000</v>
      </c>
      <c r="J117" s="54">
        <f t="shared" si="7"/>
        <v>108000</v>
      </c>
      <c r="K117" s="58" t="s">
        <v>124</v>
      </c>
      <c r="L117" s="56">
        <f t="shared" si="6"/>
        <v>5400</v>
      </c>
      <c r="M117" s="76" t="s">
        <v>124</v>
      </c>
      <c r="N117" s="76" t="s">
        <v>124</v>
      </c>
      <c r="O117" s="76" t="s">
        <v>124</v>
      </c>
      <c r="P117" s="76" t="s">
        <v>124</v>
      </c>
      <c r="Q117" s="76" t="s">
        <v>124</v>
      </c>
      <c r="R117" s="83"/>
      <c r="S117" s="83"/>
    </row>
    <row r="118" spans="1:19" x14ac:dyDescent="0.25">
      <c r="A118" s="82">
        <v>114</v>
      </c>
      <c r="B118" s="57" t="s">
        <v>486</v>
      </c>
      <c r="C118" s="57" t="s">
        <v>31</v>
      </c>
      <c r="D118" s="83" t="s">
        <v>390</v>
      </c>
      <c r="E118" s="83" t="s">
        <v>391</v>
      </c>
      <c r="F118" s="82">
        <v>81280</v>
      </c>
      <c r="G118" s="83" t="s">
        <v>34</v>
      </c>
      <c r="H118" s="88"/>
      <c r="I118" s="54">
        <v>252120</v>
      </c>
      <c r="J118" s="54">
        <f t="shared" si="7"/>
        <v>252120</v>
      </c>
      <c r="K118" s="58" t="s">
        <v>124</v>
      </c>
      <c r="L118" s="56">
        <f t="shared" si="6"/>
        <v>12606</v>
      </c>
      <c r="M118" s="76" t="s">
        <v>124</v>
      </c>
      <c r="N118" s="76" t="s">
        <v>124</v>
      </c>
      <c r="O118" s="76" t="s">
        <v>124</v>
      </c>
      <c r="P118" s="76" t="s">
        <v>124</v>
      </c>
      <c r="Q118" s="76" t="s">
        <v>124</v>
      </c>
      <c r="R118" s="83"/>
      <c r="S118" s="83"/>
    </row>
    <row r="119" spans="1:19" x14ac:dyDescent="0.25">
      <c r="A119" s="82">
        <v>115</v>
      </c>
      <c r="B119" s="57" t="s">
        <v>486</v>
      </c>
      <c r="C119" s="57" t="s">
        <v>31</v>
      </c>
      <c r="D119" s="83" t="s">
        <v>501</v>
      </c>
      <c r="E119" s="83" t="s">
        <v>393</v>
      </c>
      <c r="F119" s="82">
        <v>82140</v>
      </c>
      <c r="G119" s="83" t="s">
        <v>101</v>
      </c>
      <c r="H119" s="88"/>
      <c r="I119" s="54">
        <v>2773680</v>
      </c>
      <c r="J119" s="54">
        <f t="shared" si="7"/>
        <v>2773680</v>
      </c>
      <c r="K119" s="58" t="s">
        <v>124</v>
      </c>
      <c r="L119" s="56">
        <f t="shared" si="6"/>
        <v>138684</v>
      </c>
      <c r="M119" s="76" t="s">
        <v>124</v>
      </c>
      <c r="N119" s="76" t="s">
        <v>124</v>
      </c>
      <c r="O119" s="76" t="s">
        <v>124</v>
      </c>
      <c r="P119" s="76" t="s">
        <v>124</v>
      </c>
      <c r="Q119" s="76" t="s">
        <v>124</v>
      </c>
      <c r="R119" s="83"/>
      <c r="S119" s="83"/>
    </row>
    <row r="120" spans="1:19" x14ac:dyDescent="0.25">
      <c r="A120" s="82">
        <v>116</v>
      </c>
      <c r="B120" s="57" t="s">
        <v>486</v>
      </c>
      <c r="C120" s="57" t="s">
        <v>31</v>
      </c>
      <c r="D120" s="83" t="s">
        <v>502</v>
      </c>
      <c r="E120" s="83" t="s">
        <v>395</v>
      </c>
      <c r="F120" s="82">
        <v>81490</v>
      </c>
      <c r="G120" s="83" t="s">
        <v>189</v>
      </c>
      <c r="H120" s="88"/>
      <c r="I120" s="54">
        <v>231300</v>
      </c>
      <c r="J120" s="54">
        <f t="shared" si="7"/>
        <v>231300</v>
      </c>
      <c r="K120" s="58" t="s">
        <v>124</v>
      </c>
      <c r="L120" s="56">
        <f t="shared" si="6"/>
        <v>11565</v>
      </c>
      <c r="M120" s="76" t="s">
        <v>124</v>
      </c>
      <c r="N120" s="76" t="s">
        <v>124</v>
      </c>
      <c r="O120" s="76" t="s">
        <v>124</v>
      </c>
      <c r="P120" s="76" t="s">
        <v>124</v>
      </c>
      <c r="Q120" s="76" t="s">
        <v>124</v>
      </c>
      <c r="R120" s="83"/>
      <c r="S120" s="83"/>
    </row>
    <row r="121" spans="1:19" x14ac:dyDescent="0.25">
      <c r="A121" s="82">
        <v>117</v>
      </c>
      <c r="B121" s="57" t="s">
        <v>486</v>
      </c>
      <c r="C121" s="57" t="s">
        <v>31</v>
      </c>
      <c r="D121" s="83" t="s">
        <v>396</v>
      </c>
      <c r="E121" s="83" t="s">
        <v>397</v>
      </c>
      <c r="F121" s="82">
        <v>81040</v>
      </c>
      <c r="G121" s="83" t="s">
        <v>4</v>
      </c>
      <c r="H121" s="88"/>
      <c r="I121" s="54">
        <v>117720</v>
      </c>
      <c r="J121" s="54">
        <f t="shared" si="7"/>
        <v>117720</v>
      </c>
      <c r="K121" s="58" t="s">
        <v>124</v>
      </c>
      <c r="L121" s="56">
        <f t="shared" si="6"/>
        <v>5886</v>
      </c>
      <c r="M121" s="76" t="s">
        <v>124</v>
      </c>
      <c r="N121" s="76" t="s">
        <v>124</v>
      </c>
      <c r="O121" s="76" t="s">
        <v>124</v>
      </c>
      <c r="P121" s="76" t="s">
        <v>124</v>
      </c>
      <c r="Q121" s="76" t="s">
        <v>124</v>
      </c>
      <c r="R121" s="83"/>
      <c r="S121" s="83"/>
    </row>
    <row r="122" spans="1:19" x14ac:dyDescent="0.25">
      <c r="A122" s="82">
        <v>118</v>
      </c>
      <c r="B122" s="57" t="s">
        <v>486</v>
      </c>
      <c r="C122" s="57" t="s">
        <v>31</v>
      </c>
      <c r="D122" s="83" t="s">
        <v>283</v>
      </c>
      <c r="E122" s="83" t="s">
        <v>398</v>
      </c>
      <c r="F122" s="82">
        <v>81040</v>
      </c>
      <c r="G122" s="83" t="s">
        <v>4</v>
      </c>
      <c r="H122" s="88"/>
      <c r="I122" s="54">
        <v>251160</v>
      </c>
      <c r="J122" s="54">
        <f t="shared" si="7"/>
        <v>251160</v>
      </c>
      <c r="K122" s="58" t="s">
        <v>124</v>
      </c>
      <c r="L122" s="56">
        <f t="shared" si="6"/>
        <v>12558</v>
      </c>
      <c r="M122" s="76" t="s">
        <v>124</v>
      </c>
      <c r="N122" s="76" t="s">
        <v>124</v>
      </c>
      <c r="O122" s="76" t="s">
        <v>124</v>
      </c>
      <c r="P122" s="76" t="s">
        <v>124</v>
      </c>
      <c r="Q122" s="76" t="s">
        <v>124</v>
      </c>
      <c r="R122" s="83"/>
      <c r="S122" s="83"/>
    </row>
    <row r="123" spans="1:19" x14ac:dyDescent="0.25">
      <c r="A123" s="82">
        <v>119</v>
      </c>
      <c r="B123" s="57" t="s">
        <v>486</v>
      </c>
      <c r="C123" s="57" t="s">
        <v>31</v>
      </c>
      <c r="D123" s="83" t="s">
        <v>503</v>
      </c>
      <c r="E123" s="83" t="s">
        <v>400</v>
      </c>
      <c r="F123" s="82">
        <v>80058</v>
      </c>
      <c r="G123" s="83" t="s">
        <v>5</v>
      </c>
      <c r="H123" s="88"/>
      <c r="I123" s="54">
        <v>1182040</v>
      </c>
      <c r="J123" s="54">
        <f t="shared" si="7"/>
        <v>1182040</v>
      </c>
      <c r="K123" s="58" t="s">
        <v>124</v>
      </c>
      <c r="L123" s="56">
        <f t="shared" si="6"/>
        <v>59102</v>
      </c>
      <c r="M123" s="76" t="s">
        <v>124</v>
      </c>
      <c r="N123" s="76" t="s">
        <v>124</v>
      </c>
      <c r="O123" s="76" t="s">
        <v>124</v>
      </c>
      <c r="P123" s="76" t="s">
        <v>124</v>
      </c>
      <c r="Q123" s="76" t="s">
        <v>124</v>
      </c>
      <c r="R123" s="83"/>
      <c r="S123" s="83"/>
    </row>
    <row r="124" spans="1:19" x14ac:dyDescent="0.25">
      <c r="A124" s="82">
        <v>120</v>
      </c>
      <c r="B124" s="57" t="s">
        <v>486</v>
      </c>
      <c r="C124" s="57" t="s">
        <v>31</v>
      </c>
      <c r="D124" s="83" t="s">
        <v>401</v>
      </c>
      <c r="E124" s="83" t="s">
        <v>402</v>
      </c>
      <c r="F124" s="82">
        <v>82120</v>
      </c>
      <c r="G124" s="83" t="s">
        <v>101</v>
      </c>
      <c r="H124" s="88"/>
      <c r="I124" s="54">
        <v>1182040</v>
      </c>
      <c r="J124" s="54">
        <f t="shared" si="7"/>
        <v>1182040</v>
      </c>
      <c r="K124" s="58" t="s">
        <v>124</v>
      </c>
      <c r="L124" s="56">
        <f t="shared" si="6"/>
        <v>59102</v>
      </c>
      <c r="M124" s="76" t="s">
        <v>124</v>
      </c>
      <c r="N124" s="76" t="s">
        <v>124</v>
      </c>
      <c r="O124" s="76" t="s">
        <v>124</v>
      </c>
      <c r="P124" s="76" t="s">
        <v>124</v>
      </c>
      <c r="Q124" s="76" t="s">
        <v>124</v>
      </c>
      <c r="R124" s="83"/>
      <c r="S124" s="83"/>
    </row>
    <row r="125" spans="1:19" x14ac:dyDescent="0.25">
      <c r="A125" s="82">
        <v>121</v>
      </c>
      <c r="B125" s="57" t="s">
        <v>486</v>
      </c>
      <c r="C125" s="57" t="s">
        <v>31</v>
      </c>
      <c r="D125" s="83" t="s">
        <v>403</v>
      </c>
      <c r="E125" s="83" t="s">
        <v>404</v>
      </c>
      <c r="F125" s="82">
        <v>82110</v>
      </c>
      <c r="G125" s="83" t="s">
        <v>101</v>
      </c>
      <c r="H125" s="88"/>
      <c r="I125" s="54">
        <v>1182040</v>
      </c>
      <c r="J125" s="54">
        <f t="shared" si="7"/>
        <v>1182040</v>
      </c>
      <c r="K125" s="58" t="s">
        <v>124</v>
      </c>
      <c r="L125" s="56">
        <f t="shared" si="6"/>
        <v>59102</v>
      </c>
      <c r="M125" s="76" t="s">
        <v>124</v>
      </c>
      <c r="N125" s="76" t="s">
        <v>124</v>
      </c>
      <c r="O125" s="76" t="s">
        <v>124</v>
      </c>
      <c r="P125" s="76" t="s">
        <v>124</v>
      </c>
      <c r="Q125" s="76" t="s">
        <v>124</v>
      </c>
      <c r="R125" s="83"/>
      <c r="S125" s="83"/>
    </row>
    <row r="126" spans="1:19" x14ac:dyDescent="0.25">
      <c r="A126" s="82">
        <v>122</v>
      </c>
      <c r="B126" s="57" t="s">
        <v>486</v>
      </c>
      <c r="C126" s="57" t="s">
        <v>31</v>
      </c>
      <c r="D126" s="83" t="s">
        <v>390</v>
      </c>
      <c r="E126" s="83" t="s">
        <v>405</v>
      </c>
      <c r="F126" s="82">
        <v>81271</v>
      </c>
      <c r="G126" s="83" t="s">
        <v>34</v>
      </c>
      <c r="H126" s="88"/>
      <c r="I126" s="54">
        <v>1182040</v>
      </c>
      <c r="J126" s="54">
        <f t="shared" si="7"/>
        <v>1182040</v>
      </c>
      <c r="K126" s="58" t="s">
        <v>124</v>
      </c>
      <c r="L126" s="56">
        <f t="shared" si="6"/>
        <v>59102</v>
      </c>
      <c r="M126" s="76" t="s">
        <v>124</v>
      </c>
      <c r="N126" s="76" t="s">
        <v>124</v>
      </c>
      <c r="O126" s="76" t="s">
        <v>124</v>
      </c>
      <c r="P126" s="76" t="s">
        <v>124</v>
      </c>
      <c r="Q126" s="76" t="s">
        <v>124</v>
      </c>
      <c r="R126" s="83"/>
      <c r="S126" s="83"/>
    </row>
    <row r="127" spans="1:19" x14ac:dyDescent="0.25">
      <c r="A127" s="82">
        <v>123</v>
      </c>
      <c r="B127" s="57" t="s">
        <v>486</v>
      </c>
      <c r="C127" s="57" t="s">
        <v>31</v>
      </c>
      <c r="D127" s="83" t="s">
        <v>504</v>
      </c>
      <c r="E127" s="83" t="s">
        <v>407</v>
      </c>
      <c r="F127" s="82">
        <v>82010</v>
      </c>
      <c r="G127" s="83" t="s">
        <v>101</v>
      </c>
      <c r="H127" s="88"/>
      <c r="I127" s="54">
        <v>1182040</v>
      </c>
      <c r="J127" s="54">
        <f t="shared" si="7"/>
        <v>1182040</v>
      </c>
      <c r="K127" s="58" t="s">
        <v>124</v>
      </c>
      <c r="L127" s="56">
        <f t="shared" si="6"/>
        <v>59102</v>
      </c>
      <c r="M127" s="76" t="s">
        <v>124</v>
      </c>
      <c r="N127" s="76" t="s">
        <v>124</v>
      </c>
      <c r="O127" s="76" t="s">
        <v>124</v>
      </c>
      <c r="P127" s="76" t="s">
        <v>124</v>
      </c>
      <c r="Q127" s="76" t="s">
        <v>124</v>
      </c>
      <c r="R127" s="83"/>
      <c r="S127" s="83"/>
    </row>
    <row r="128" spans="1:19" x14ac:dyDescent="0.25">
      <c r="A128" s="82">
        <v>124</v>
      </c>
      <c r="B128" s="57" t="s">
        <v>486</v>
      </c>
      <c r="C128" s="57" t="s">
        <v>31</v>
      </c>
      <c r="D128" s="83" t="s">
        <v>505</v>
      </c>
      <c r="E128" s="83" t="s">
        <v>407</v>
      </c>
      <c r="F128" s="82">
        <v>82010</v>
      </c>
      <c r="G128" s="83" t="s">
        <v>101</v>
      </c>
      <c r="H128" s="88"/>
      <c r="I128" s="54">
        <v>108000</v>
      </c>
      <c r="J128" s="54">
        <f t="shared" si="7"/>
        <v>108000</v>
      </c>
      <c r="K128" s="58" t="s">
        <v>124</v>
      </c>
      <c r="L128" s="56">
        <f t="shared" si="6"/>
        <v>5400</v>
      </c>
      <c r="M128" s="76" t="s">
        <v>124</v>
      </c>
      <c r="N128" s="76" t="s">
        <v>124</v>
      </c>
      <c r="O128" s="76" t="s">
        <v>124</v>
      </c>
      <c r="P128" s="76" t="s">
        <v>124</v>
      </c>
      <c r="Q128" s="76" t="s">
        <v>124</v>
      </c>
      <c r="R128" s="83"/>
      <c r="S128" s="83"/>
    </row>
    <row r="129" spans="1:19" x14ac:dyDescent="0.25">
      <c r="A129" s="82">
        <v>125</v>
      </c>
      <c r="B129" s="57" t="s">
        <v>486</v>
      </c>
      <c r="C129" s="57" t="s">
        <v>31</v>
      </c>
      <c r="D129" s="83" t="s">
        <v>506</v>
      </c>
      <c r="E129" s="83" t="s">
        <v>410</v>
      </c>
      <c r="F129" s="82">
        <v>80000</v>
      </c>
      <c r="G129" s="83" t="s">
        <v>5</v>
      </c>
      <c r="H129" s="88"/>
      <c r="I129" s="54">
        <v>371160</v>
      </c>
      <c r="J129" s="54">
        <f t="shared" si="7"/>
        <v>371160</v>
      </c>
      <c r="K129" s="58" t="s">
        <v>124</v>
      </c>
      <c r="L129" s="56">
        <f t="shared" si="6"/>
        <v>18558</v>
      </c>
      <c r="M129" s="76" t="s">
        <v>124</v>
      </c>
      <c r="N129" s="76" t="s">
        <v>124</v>
      </c>
      <c r="O129" s="76" t="s">
        <v>124</v>
      </c>
      <c r="P129" s="76" t="s">
        <v>124</v>
      </c>
      <c r="Q129" s="76" t="s">
        <v>124</v>
      </c>
      <c r="R129" s="83"/>
      <c r="S129" s="83"/>
    </row>
    <row r="130" spans="1:19" x14ac:dyDescent="0.25">
      <c r="A130" s="82">
        <v>126</v>
      </c>
      <c r="B130" s="57" t="s">
        <v>486</v>
      </c>
      <c r="C130" s="57" t="s">
        <v>31</v>
      </c>
      <c r="D130" s="83" t="s">
        <v>507</v>
      </c>
      <c r="E130" s="83" t="s">
        <v>412</v>
      </c>
      <c r="F130" s="82">
        <v>82210</v>
      </c>
      <c r="G130" s="83" t="s">
        <v>101</v>
      </c>
      <c r="H130" s="88"/>
      <c r="I130" s="54">
        <v>638100</v>
      </c>
      <c r="J130" s="54">
        <f t="shared" si="7"/>
        <v>638100</v>
      </c>
      <c r="K130" s="58" t="s">
        <v>124</v>
      </c>
      <c r="L130" s="56">
        <f t="shared" si="6"/>
        <v>31905</v>
      </c>
      <c r="M130" s="76" t="s">
        <v>124</v>
      </c>
      <c r="N130" s="76" t="s">
        <v>124</v>
      </c>
      <c r="O130" s="76" t="s">
        <v>124</v>
      </c>
      <c r="P130" s="76" t="s">
        <v>124</v>
      </c>
      <c r="Q130" s="76" t="s">
        <v>124</v>
      </c>
      <c r="R130" s="83"/>
      <c r="S130" s="83"/>
    </row>
    <row r="131" spans="1:19" x14ac:dyDescent="0.25">
      <c r="A131" s="82">
        <v>127</v>
      </c>
      <c r="B131" s="57" t="s">
        <v>486</v>
      </c>
      <c r="C131" s="57" t="s">
        <v>31</v>
      </c>
      <c r="D131" s="83" t="s">
        <v>508</v>
      </c>
      <c r="E131" s="83" t="s">
        <v>414</v>
      </c>
      <c r="F131" s="82">
        <v>82124</v>
      </c>
      <c r="G131" s="83" t="s">
        <v>101</v>
      </c>
      <c r="H131" s="88"/>
      <c r="I131" s="54">
        <v>137200</v>
      </c>
      <c r="J131" s="54">
        <f t="shared" si="7"/>
        <v>137200</v>
      </c>
      <c r="K131" s="58" t="s">
        <v>124</v>
      </c>
      <c r="L131" s="56">
        <f t="shared" si="6"/>
        <v>6860</v>
      </c>
      <c r="M131" s="76" t="s">
        <v>124</v>
      </c>
      <c r="N131" s="76" t="s">
        <v>124</v>
      </c>
      <c r="O131" s="76" t="s">
        <v>124</v>
      </c>
      <c r="P131" s="76" t="s">
        <v>124</v>
      </c>
      <c r="Q131" s="76" t="s">
        <v>124</v>
      </c>
      <c r="R131" s="83"/>
      <c r="S131" s="83"/>
    </row>
    <row r="132" spans="1:19" x14ac:dyDescent="0.25">
      <c r="A132" s="82">
        <v>128</v>
      </c>
      <c r="B132" s="57" t="s">
        <v>486</v>
      </c>
      <c r="C132" s="57" t="s">
        <v>31</v>
      </c>
      <c r="D132" s="83" t="s">
        <v>415</v>
      </c>
      <c r="E132" s="83" t="s">
        <v>416</v>
      </c>
      <c r="F132" s="82">
        <v>82126</v>
      </c>
      <c r="G132" s="83" t="s">
        <v>101</v>
      </c>
      <c r="H132" s="88"/>
      <c r="I132" s="54">
        <v>378000</v>
      </c>
      <c r="J132" s="54">
        <f t="shared" si="7"/>
        <v>378000</v>
      </c>
      <c r="K132" s="58" t="s">
        <v>124</v>
      </c>
      <c r="L132" s="56">
        <f t="shared" si="6"/>
        <v>18900</v>
      </c>
      <c r="M132" s="76" t="s">
        <v>124</v>
      </c>
      <c r="N132" s="76" t="s">
        <v>124</v>
      </c>
      <c r="O132" s="76" t="s">
        <v>124</v>
      </c>
      <c r="P132" s="76" t="s">
        <v>124</v>
      </c>
      <c r="Q132" s="76" t="s">
        <v>124</v>
      </c>
      <c r="R132" s="83"/>
      <c r="S132" s="83"/>
    </row>
    <row r="133" spans="1:19" x14ac:dyDescent="0.25">
      <c r="A133" s="82">
        <v>129</v>
      </c>
      <c r="B133" s="57" t="s">
        <v>486</v>
      </c>
      <c r="C133" s="57" t="s">
        <v>31</v>
      </c>
      <c r="D133" s="83" t="s">
        <v>417</v>
      </c>
      <c r="E133" s="83" t="s">
        <v>418</v>
      </c>
      <c r="F133" s="82">
        <v>82181</v>
      </c>
      <c r="G133" s="83" t="s">
        <v>101</v>
      </c>
      <c r="H133" s="88"/>
      <c r="I133" s="54">
        <v>676000</v>
      </c>
      <c r="J133" s="54">
        <f t="shared" si="7"/>
        <v>676000</v>
      </c>
      <c r="K133" s="58" t="s">
        <v>124</v>
      </c>
      <c r="L133" s="56">
        <f t="shared" si="6"/>
        <v>33800</v>
      </c>
      <c r="M133" s="76" t="s">
        <v>124</v>
      </c>
      <c r="N133" s="76" t="s">
        <v>124</v>
      </c>
      <c r="O133" s="76" t="s">
        <v>124</v>
      </c>
      <c r="P133" s="76" t="s">
        <v>124</v>
      </c>
      <c r="Q133" s="76" t="s">
        <v>124</v>
      </c>
      <c r="R133" s="83"/>
      <c r="S133" s="83"/>
    </row>
    <row r="134" spans="1:19" x14ac:dyDescent="0.25">
      <c r="A134" s="82">
        <v>130</v>
      </c>
      <c r="B134" s="57" t="s">
        <v>486</v>
      </c>
      <c r="C134" s="57" t="s">
        <v>31</v>
      </c>
      <c r="D134" s="83" t="s">
        <v>132</v>
      </c>
      <c r="E134" s="83" t="s">
        <v>419</v>
      </c>
      <c r="F134" s="82">
        <v>80220</v>
      </c>
      <c r="G134" s="83" t="s">
        <v>5</v>
      </c>
      <c r="H134" s="88"/>
      <c r="I134" s="54">
        <v>606000</v>
      </c>
      <c r="J134" s="54">
        <f t="shared" si="7"/>
        <v>606000</v>
      </c>
      <c r="K134" s="58" t="s">
        <v>124</v>
      </c>
      <c r="L134" s="56">
        <f t="shared" si="6"/>
        <v>30300</v>
      </c>
      <c r="M134" s="76" t="s">
        <v>124</v>
      </c>
      <c r="N134" s="76" t="s">
        <v>124</v>
      </c>
      <c r="O134" s="76" t="s">
        <v>124</v>
      </c>
      <c r="P134" s="76" t="s">
        <v>124</v>
      </c>
      <c r="Q134" s="76" t="s">
        <v>124</v>
      </c>
      <c r="R134" s="83"/>
      <c r="S134" s="83"/>
    </row>
    <row r="135" spans="1:19" x14ac:dyDescent="0.25">
      <c r="A135" s="82">
        <v>131</v>
      </c>
      <c r="B135" s="57" t="s">
        <v>486</v>
      </c>
      <c r="C135" s="57" t="s">
        <v>31</v>
      </c>
      <c r="D135" s="83" t="s">
        <v>420</v>
      </c>
      <c r="E135" s="83" t="s">
        <v>421</v>
      </c>
      <c r="F135" s="82">
        <v>82017</v>
      </c>
      <c r="G135" s="83" t="s">
        <v>101</v>
      </c>
      <c r="H135" s="88"/>
      <c r="I135" s="54">
        <v>300000</v>
      </c>
      <c r="J135" s="54">
        <f t="shared" si="7"/>
        <v>300000</v>
      </c>
      <c r="K135" s="58" t="s">
        <v>124</v>
      </c>
      <c r="L135" s="56">
        <f t="shared" si="6"/>
        <v>15000</v>
      </c>
      <c r="M135" s="76" t="s">
        <v>124</v>
      </c>
      <c r="N135" s="76" t="s">
        <v>124</v>
      </c>
      <c r="O135" s="76" t="s">
        <v>124</v>
      </c>
      <c r="P135" s="76" t="s">
        <v>124</v>
      </c>
      <c r="Q135" s="76" t="s">
        <v>124</v>
      </c>
      <c r="R135" s="83"/>
      <c r="S135" s="83"/>
    </row>
    <row r="136" spans="1:19" x14ac:dyDescent="0.25">
      <c r="A136" s="82">
        <v>132</v>
      </c>
      <c r="B136" s="57" t="s">
        <v>486</v>
      </c>
      <c r="C136" s="57" t="s">
        <v>31</v>
      </c>
      <c r="D136" s="83" t="s">
        <v>422</v>
      </c>
      <c r="E136" s="83" t="s">
        <v>423</v>
      </c>
      <c r="F136" s="82">
        <v>82017</v>
      </c>
      <c r="G136" s="83" t="s">
        <v>101</v>
      </c>
      <c r="H136" s="88"/>
      <c r="I136" s="54">
        <v>600000</v>
      </c>
      <c r="J136" s="54">
        <f t="shared" si="7"/>
        <v>600000</v>
      </c>
      <c r="K136" s="58" t="s">
        <v>124</v>
      </c>
      <c r="L136" s="56">
        <f t="shared" si="6"/>
        <v>30000</v>
      </c>
      <c r="M136" s="76" t="s">
        <v>124</v>
      </c>
      <c r="N136" s="76" t="s">
        <v>124</v>
      </c>
      <c r="O136" s="76" t="s">
        <v>124</v>
      </c>
      <c r="P136" s="76" t="s">
        <v>124</v>
      </c>
      <c r="Q136" s="76" t="s">
        <v>124</v>
      </c>
      <c r="R136" s="83"/>
      <c r="S136" s="83"/>
    </row>
    <row r="137" spans="1:19" x14ac:dyDescent="0.25">
      <c r="A137" s="82">
        <v>133</v>
      </c>
      <c r="B137" s="57" t="s">
        <v>486</v>
      </c>
      <c r="C137" s="57" t="s">
        <v>31</v>
      </c>
      <c r="D137" s="83" t="s">
        <v>424</v>
      </c>
      <c r="E137" s="83" t="s">
        <v>425</v>
      </c>
      <c r="F137" s="82">
        <v>81315</v>
      </c>
      <c r="G137" s="83" t="s">
        <v>34</v>
      </c>
      <c r="H137" s="88"/>
      <c r="I137" s="54">
        <v>450000</v>
      </c>
      <c r="J137" s="54">
        <f t="shared" si="7"/>
        <v>450000</v>
      </c>
      <c r="K137" s="58" t="s">
        <v>124</v>
      </c>
      <c r="L137" s="56">
        <f t="shared" si="6"/>
        <v>22500</v>
      </c>
      <c r="M137" s="76" t="s">
        <v>124</v>
      </c>
      <c r="N137" s="76" t="s">
        <v>124</v>
      </c>
      <c r="O137" s="76" t="s">
        <v>124</v>
      </c>
      <c r="P137" s="76" t="s">
        <v>124</v>
      </c>
      <c r="Q137" s="76" t="s">
        <v>124</v>
      </c>
      <c r="R137" s="83"/>
      <c r="S137" s="83"/>
    </row>
    <row r="138" spans="1:19" x14ac:dyDescent="0.25">
      <c r="A138" s="82">
        <v>134</v>
      </c>
      <c r="B138" s="57" t="s">
        <v>486</v>
      </c>
      <c r="C138" s="57" t="s">
        <v>31</v>
      </c>
      <c r="D138" s="83" t="s">
        <v>426</v>
      </c>
      <c r="E138" s="83" t="s">
        <v>427</v>
      </c>
      <c r="F138" s="82">
        <v>80160</v>
      </c>
      <c r="G138" s="83" t="s">
        <v>5</v>
      </c>
      <c r="H138" s="88"/>
      <c r="I138" s="54">
        <v>480000</v>
      </c>
      <c r="J138" s="54">
        <f t="shared" si="7"/>
        <v>480000</v>
      </c>
      <c r="K138" s="58" t="s">
        <v>124</v>
      </c>
      <c r="L138" s="56">
        <f t="shared" si="6"/>
        <v>24000</v>
      </c>
      <c r="M138" s="76" t="s">
        <v>124</v>
      </c>
      <c r="N138" s="76" t="s">
        <v>124</v>
      </c>
      <c r="O138" s="76" t="s">
        <v>124</v>
      </c>
      <c r="P138" s="76" t="s">
        <v>124</v>
      </c>
      <c r="Q138" s="76" t="s">
        <v>124</v>
      </c>
      <c r="R138" s="83"/>
      <c r="S138" s="83"/>
    </row>
    <row r="139" spans="1:19" x14ac:dyDescent="0.25">
      <c r="A139" s="82">
        <v>135</v>
      </c>
      <c r="B139" s="57" t="s">
        <v>486</v>
      </c>
      <c r="C139" s="57" t="s">
        <v>31</v>
      </c>
      <c r="D139" s="83" t="s">
        <v>426</v>
      </c>
      <c r="E139" s="83" t="s">
        <v>427</v>
      </c>
      <c r="F139" s="82">
        <v>80160</v>
      </c>
      <c r="G139" s="83" t="s">
        <v>5</v>
      </c>
      <c r="H139" s="88"/>
      <c r="I139" s="54">
        <v>480000</v>
      </c>
      <c r="J139" s="54">
        <f t="shared" si="7"/>
        <v>480000</v>
      </c>
      <c r="K139" s="58" t="s">
        <v>124</v>
      </c>
      <c r="L139" s="56">
        <f t="shared" si="6"/>
        <v>24000</v>
      </c>
      <c r="M139" s="76" t="s">
        <v>124</v>
      </c>
      <c r="N139" s="76" t="s">
        <v>124</v>
      </c>
      <c r="O139" s="76" t="s">
        <v>124</v>
      </c>
      <c r="P139" s="76" t="s">
        <v>124</v>
      </c>
      <c r="Q139" s="76" t="s">
        <v>124</v>
      </c>
      <c r="R139" s="83"/>
      <c r="S139" s="83"/>
    </row>
    <row r="140" spans="1:19" x14ac:dyDescent="0.25">
      <c r="A140" s="82">
        <v>136</v>
      </c>
      <c r="B140" s="57" t="s">
        <v>486</v>
      </c>
      <c r="C140" s="57" t="s">
        <v>31</v>
      </c>
      <c r="D140" s="83" t="s">
        <v>426</v>
      </c>
      <c r="E140" s="83" t="s">
        <v>428</v>
      </c>
      <c r="F140" s="82">
        <v>80160</v>
      </c>
      <c r="G140" s="83" t="s">
        <v>5</v>
      </c>
      <c r="H140" s="88"/>
      <c r="I140" s="54">
        <v>974000</v>
      </c>
      <c r="J140" s="54">
        <f t="shared" si="7"/>
        <v>974000</v>
      </c>
      <c r="K140" s="58" t="s">
        <v>124</v>
      </c>
      <c r="L140" s="56">
        <f t="shared" si="6"/>
        <v>48700</v>
      </c>
      <c r="M140" s="76" t="s">
        <v>124</v>
      </c>
      <c r="N140" s="76" t="s">
        <v>124</v>
      </c>
      <c r="O140" s="76" t="s">
        <v>124</v>
      </c>
      <c r="P140" s="76" t="s">
        <v>124</v>
      </c>
      <c r="Q140" s="76" t="s">
        <v>124</v>
      </c>
      <c r="R140" s="83"/>
      <c r="S140" s="83"/>
    </row>
    <row r="141" spans="1:19" x14ac:dyDescent="0.25">
      <c r="A141" s="82">
        <v>137</v>
      </c>
      <c r="B141" s="57" t="s">
        <v>486</v>
      </c>
      <c r="C141" s="57" t="s">
        <v>31</v>
      </c>
      <c r="D141" s="83" t="s">
        <v>430</v>
      </c>
      <c r="E141" s="83" t="s">
        <v>431</v>
      </c>
      <c r="F141" s="82">
        <v>82017</v>
      </c>
      <c r="G141" s="83" t="s">
        <v>101</v>
      </c>
      <c r="H141" s="88"/>
      <c r="I141" s="54">
        <v>213680</v>
      </c>
      <c r="J141" s="54">
        <f t="shared" si="7"/>
        <v>213680</v>
      </c>
      <c r="K141" s="58" t="s">
        <v>124</v>
      </c>
      <c r="L141" s="56">
        <f t="shared" si="6"/>
        <v>10684</v>
      </c>
      <c r="M141" s="76" t="s">
        <v>124</v>
      </c>
      <c r="N141" s="76" t="s">
        <v>124</v>
      </c>
      <c r="O141" s="76" t="s">
        <v>124</v>
      </c>
      <c r="P141" s="76" t="s">
        <v>124</v>
      </c>
      <c r="Q141" s="76" t="s">
        <v>124</v>
      </c>
      <c r="R141" s="83"/>
      <c r="S141" s="83"/>
    </row>
    <row r="142" spans="1:19" x14ac:dyDescent="0.25">
      <c r="A142" s="82">
        <v>138</v>
      </c>
      <c r="B142" s="57" t="s">
        <v>486</v>
      </c>
      <c r="C142" s="57" t="s">
        <v>31</v>
      </c>
      <c r="D142" s="83" t="s">
        <v>432</v>
      </c>
      <c r="E142" s="83" t="s">
        <v>433</v>
      </c>
      <c r="F142" s="82">
        <v>82143</v>
      </c>
      <c r="G142" s="83" t="s">
        <v>101</v>
      </c>
      <c r="H142" s="88"/>
      <c r="I142" s="54">
        <v>238040</v>
      </c>
      <c r="J142" s="54">
        <f t="shared" si="7"/>
        <v>238040</v>
      </c>
      <c r="K142" s="58" t="s">
        <v>124</v>
      </c>
      <c r="L142" s="56">
        <f t="shared" si="6"/>
        <v>11902</v>
      </c>
      <c r="M142" s="76" t="s">
        <v>124</v>
      </c>
      <c r="N142" s="76" t="s">
        <v>124</v>
      </c>
      <c r="O142" s="76" t="s">
        <v>124</v>
      </c>
      <c r="P142" s="76" t="s">
        <v>124</v>
      </c>
      <c r="Q142" s="76" t="s">
        <v>124</v>
      </c>
      <c r="R142" s="83"/>
      <c r="S142" s="83"/>
    </row>
    <row r="143" spans="1:19" x14ac:dyDescent="0.25">
      <c r="A143" s="82">
        <v>139</v>
      </c>
      <c r="B143" s="57" t="s">
        <v>486</v>
      </c>
      <c r="C143" s="57" t="s">
        <v>31</v>
      </c>
      <c r="D143" s="83" t="s">
        <v>330</v>
      </c>
      <c r="E143" s="83" t="s">
        <v>434</v>
      </c>
      <c r="F143" s="82">
        <v>80177</v>
      </c>
      <c r="G143" s="83" t="s">
        <v>5</v>
      </c>
      <c r="H143" s="88"/>
      <c r="I143" s="54">
        <v>230000</v>
      </c>
      <c r="J143" s="54">
        <f t="shared" si="7"/>
        <v>230000</v>
      </c>
      <c r="K143" s="58" t="s">
        <v>124</v>
      </c>
      <c r="L143" s="56">
        <f t="shared" si="6"/>
        <v>11500</v>
      </c>
      <c r="M143" s="76" t="s">
        <v>124</v>
      </c>
      <c r="N143" s="76" t="s">
        <v>124</v>
      </c>
      <c r="O143" s="76" t="s">
        <v>124</v>
      </c>
      <c r="P143" s="76" t="s">
        <v>124</v>
      </c>
      <c r="Q143" s="76" t="s">
        <v>124</v>
      </c>
      <c r="R143" s="83"/>
      <c r="S143" s="83"/>
    </row>
    <row r="144" spans="1:19" x14ac:dyDescent="0.25">
      <c r="A144" s="82">
        <v>140</v>
      </c>
      <c r="B144" s="57" t="s">
        <v>486</v>
      </c>
      <c r="C144" s="57" t="s">
        <v>31</v>
      </c>
      <c r="D144" s="83" t="s">
        <v>435</v>
      </c>
      <c r="E144" s="83" t="s">
        <v>436</v>
      </c>
      <c r="F144" s="82">
        <v>81040</v>
      </c>
      <c r="G144" s="83" t="s">
        <v>4</v>
      </c>
      <c r="H144" s="88"/>
      <c r="I144" s="54">
        <v>260000</v>
      </c>
      <c r="J144" s="54">
        <f t="shared" si="7"/>
        <v>260000</v>
      </c>
      <c r="K144" s="58" t="s">
        <v>124</v>
      </c>
      <c r="L144" s="56">
        <f t="shared" si="6"/>
        <v>13000</v>
      </c>
      <c r="M144" s="76" t="s">
        <v>124</v>
      </c>
      <c r="N144" s="76" t="s">
        <v>124</v>
      </c>
      <c r="O144" s="76" t="s">
        <v>124</v>
      </c>
      <c r="P144" s="76" t="s">
        <v>124</v>
      </c>
      <c r="Q144" s="76" t="s">
        <v>124</v>
      </c>
      <c r="R144" s="83"/>
      <c r="S144" s="83"/>
    </row>
    <row r="145" spans="1:19" x14ac:dyDescent="0.25">
      <c r="A145" s="82">
        <v>141</v>
      </c>
      <c r="B145" s="57" t="s">
        <v>486</v>
      </c>
      <c r="C145" s="57" t="s">
        <v>31</v>
      </c>
      <c r="D145" s="83" t="s">
        <v>440</v>
      </c>
      <c r="E145" s="83" t="s">
        <v>441</v>
      </c>
      <c r="F145" s="82">
        <v>81280</v>
      </c>
      <c r="G145" s="83" t="s">
        <v>34</v>
      </c>
      <c r="H145" s="88"/>
      <c r="I145" s="54">
        <v>735260</v>
      </c>
      <c r="J145" s="54">
        <f t="shared" si="7"/>
        <v>735260</v>
      </c>
      <c r="K145" s="58" t="s">
        <v>124</v>
      </c>
      <c r="L145" s="56">
        <f t="shared" si="6"/>
        <v>36763</v>
      </c>
      <c r="M145" s="76" t="s">
        <v>124</v>
      </c>
      <c r="N145" s="76" t="s">
        <v>124</v>
      </c>
      <c r="O145" s="76" t="s">
        <v>124</v>
      </c>
      <c r="P145" s="76" t="s">
        <v>124</v>
      </c>
      <c r="Q145" s="76" t="s">
        <v>124</v>
      </c>
      <c r="R145" s="83"/>
      <c r="S145" s="83"/>
    </row>
    <row r="146" spans="1:19" x14ac:dyDescent="0.25">
      <c r="A146" s="82">
        <v>142</v>
      </c>
      <c r="B146" s="57" t="s">
        <v>486</v>
      </c>
      <c r="C146" s="57" t="s">
        <v>31</v>
      </c>
      <c r="D146" s="83" t="s">
        <v>417</v>
      </c>
      <c r="E146" s="83" t="s">
        <v>442</v>
      </c>
      <c r="F146" s="82">
        <v>80000</v>
      </c>
      <c r="G146" s="83" t="s">
        <v>5</v>
      </c>
      <c r="H146" s="88"/>
      <c r="I146" s="54">
        <v>2123580</v>
      </c>
      <c r="J146" s="54">
        <f t="shared" si="7"/>
        <v>2123580</v>
      </c>
      <c r="K146" s="58" t="s">
        <v>124</v>
      </c>
      <c r="L146" s="56">
        <f t="shared" si="6"/>
        <v>106179</v>
      </c>
      <c r="M146" s="76" t="s">
        <v>124</v>
      </c>
      <c r="N146" s="76" t="s">
        <v>124</v>
      </c>
      <c r="O146" s="76" t="s">
        <v>124</v>
      </c>
      <c r="P146" s="76" t="s">
        <v>124</v>
      </c>
      <c r="Q146" s="76" t="s">
        <v>124</v>
      </c>
      <c r="R146" s="83"/>
      <c r="S146" s="83"/>
    </row>
    <row r="147" spans="1:19" x14ac:dyDescent="0.25">
      <c r="A147" s="82">
        <v>143</v>
      </c>
      <c r="B147" s="57" t="s">
        <v>486</v>
      </c>
      <c r="C147" s="57" t="s">
        <v>31</v>
      </c>
      <c r="D147" s="83" t="s">
        <v>509</v>
      </c>
      <c r="E147" s="83" t="s">
        <v>134</v>
      </c>
      <c r="F147" s="82">
        <v>81330</v>
      </c>
      <c r="G147" s="83" t="s">
        <v>34</v>
      </c>
      <c r="H147" s="88"/>
      <c r="I147" s="54">
        <v>179420</v>
      </c>
      <c r="J147" s="54">
        <f t="shared" si="7"/>
        <v>179420</v>
      </c>
      <c r="K147" s="58" t="s">
        <v>124</v>
      </c>
      <c r="L147" s="56">
        <f t="shared" si="6"/>
        <v>8971</v>
      </c>
      <c r="M147" s="76" t="s">
        <v>124</v>
      </c>
      <c r="N147" s="76" t="s">
        <v>124</v>
      </c>
      <c r="O147" s="76" t="s">
        <v>124</v>
      </c>
      <c r="P147" s="76" t="s">
        <v>124</v>
      </c>
      <c r="Q147" s="76" t="s">
        <v>124</v>
      </c>
      <c r="R147" s="83"/>
      <c r="S147" s="83"/>
    </row>
    <row r="148" spans="1:19" x14ac:dyDescent="0.25">
      <c r="A148" s="82">
        <v>144</v>
      </c>
      <c r="B148" s="57" t="s">
        <v>486</v>
      </c>
      <c r="C148" s="57" t="s">
        <v>31</v>
      </c>
      <c r="D148" s="83" t="s">
        <v>510</v>
      </c>
      <c r="E148" s="83" t="s">
        <v>445</v>
      </c>
      <c r="F148" s="82">
        <v>82013</v>
      </c>
      <c r="G148" s="83" t="s">
        <v>101</v>
      </c>
      <c r="H148" s="88"/>
      <c r="I148" s="54">
        <v>379600</v>
      </c>
      <c r="J148" s="54">
        <f t="shared" si="7"/>
        <v>379600</v>
      </c>
      <c r="K148" s="58" t="s">
        <v>124</v>
      </c>
      <c r="L148" s="56">
        <f t="shared" si="6"/>
        <v>18980</v>
      </c>
      <c r="M148" s="76" t="s">
        <v>124</v>
      </c>
      <c r="N148" s="76" t="s">
        <v>124</v>
      </c>
      <c r="O148" s="76" t="s">
        <v>124</v>
      </c>
      <c r="P148" s="76" t="s">
        <v>124</v>
      </c>
      <c r="Q148" s="76" t="s">
        <v>124</v>
      </c>
      <c r="R148" s="83"/>
      <c r="S148" s="83"/>
    </row>
    <row r="149" spans="1:19" x14ac:dyDescent="0.25">
      <c r="A149" s="82">
        <v>145</v>
      </c>
      <c r="B149" s="57" t="s">
        <v>486</v>
      </c>
      <c r="C149" s="57" t="s">
        <v>31</v>
      </c>
      <c r="D149" s="83" t="s">
        <v>511</v>
      </c>
      <c r="E149" s="83" t="s">
        <v>512</v>
      </c>
      <c r="F149" s="82">
        <v>80400</v>
      </c>
      <c r="G149" s="83" t="s">
        <v>5</v>
      </c>
      <c r="H149" s="88"/>
      <c r="I149" s="54">
        <v>3944000</v>
      </c>
      <c r="J149" s="54">
        <f t="shared" si="7"/>
        <v>3944000</v>
      </c>
      <c r="K149" s="58" t="s">
        <v>124</v>
      </c>
      <c r="L149" s="56">
        <f t="shared" si="6"/>
        <v>197200</v>
      </c>
      <c r="M149" s="76" t="s">
        <v>124</v>
      </c>
      <c r="N149" s="76" t="s">
        <v>124</v>
      </c>
      <c r="O149" s="76" t="s">
        <v>124</v>
      </c>
      <c r="P149" s="76" t="s">
        <v>124</v>
      </c>
      <c r="Q149" s="76" t="s">
        <v>124</v>
      </c>
      <c r="R149" s="83"/>
      <c r="S149" s="83"/>
    </row>
    <row r="150" spans="1:19" x14ac:dyDescent="0.25">
      <c r="A150" s="82">
        <v>146</v>
      </c>
      <c r="B150" s="57" t="s">
        <v>486</v>
      </c>
      <c r="C150" s="57" t="s">
        <v>31</v>
      </c>
      <c r="D150" s="83" t="s">
        <v>330</v>
      </c>
      <c r="E150" s="83" t="s">
        <v>449</v>
      </c>
      <c r="F150" s="82">
        <v>81200</v>
      </c>
      <c r="G150" s="83" t="s">
        <v>34</v>
      </c>
      <c r="H150" s="88"/>
      <c r="I150" s="54">
        <v>2632000</v>
      </c>
      <c r="J150" s="54">
        <f t="shared" si="7"/>
        <v>2632000</v>
      </c>
      <c r="K150" s="58" t="s">
        <v>124</v>
      </c>
      <c r="L150" s="56">
        <f t="shared" si="6"/>
        <v>131600</v>
      </c>
      <c r="M150" s="76" t="s">
        <v>124</v>
      </c>
      <c r="N150" s="76" t="s">
        <v>124</v>
      </c>
      <c r="O150" s="76" t="s">
        <v>124</v>
      </c>
      <c r="P150" s="76" t="s">
        <v>124</v>
      </c>
      <c r="Q150" s="76" t="s">
        <v>124</v>
      </c>
      <c r="R150" s="83"/>
      <c r="S150" s="83"/>
    </row>
    <row r="151" spans="1:19" x14ac:dyDescent="0.25">
      <c r="A151" s="82">
        <v>147</v>
      </c>
      <c r="B151" s="57" t="s">
        <v>486</v>
      </c>
      <c r="C151" s="57" t="s">
        <v>31</v>
      </c>
      <c r="D151" s="83" t="s">
        <v>135</v>
      </c>
      <c r="E151" s="83" t="s">
        <v>450</v>
      </c>
      <c r="F151" s="82">
        <v>80170</v>
      </c>
      <c r="G151" s="83" t="s">
        <v>5</v>
      </c>
      <c r="H151" s="88"/>
      <c r="I151" s="54">
        <v>2318000</v>
      </c>
      <c r="J151" s="54">
        <f t="shared" si="7"/>
        <v>2318000</v>
      </c>
      <c r="K151" s="58" t="s">
        <v>124</v>
      </c>
      <c r="L151" s="56">
        <f t="shared" si="6"/>
        <v>115900</v>
      </c>
      <c r="M151" s="76" t="s">
        <v>124</v>
      </c>
      <c r="N151" s="76" t="s">
        <v>124</v>
      </c>
      <c r="O151" s="76" t="s">
        <v>124</v>
      </c>
      <c r="P151" s="76" t="s">
        <v>124</v>
      </c>
      <c r="Q151" s="76" t="s">
        <v>124</v>
      </c>
      <c r="R151" s="83"/>
      <c r="S151" s="83"/>
    </row>
    <row r="152" spans="1:19" x14ac:dyDescent="0.25">
      <c r="A152" s="82">
        <v>148</v>
      </c>
      <c r="B152" s="57" t="s">
        <v>486</v>
      </c>
      <c r="C152" s="57" t="s">
        <v>31</v>
      </c>
      <c r="D152" s="83" t="s">
        <v>451</v>
      </c>
      <c r="E152" s="83" t="s">
        <v>136</v>
      </c>
      <c r="F152" s="82">
        <v>80080</v>
      </c>
      <c r="G152" s="83" t="s">
        <v>5</v>
      </c>
      <c r="H152" s="88"/>
      <c r="I152" s="54">
        <v>532640</v>
      </c>
      <c r="J152" s="54">
        <f t="shared" si="7"/>
        <v>532640</v>
      </c>
      <c r="K152" s="58" t="s">
        <v>124</v>
      </c>
      <c r="L152" s="56">
        <f t="shared" si="6"/>
        <v>26632</v>
      </c>
      <c r="M152" s="76" t="s">
        <v>124</v>
      </c>
      <c r="N152" s="76" t="s">
        <v>124</v>
      </c>
      <c r="O152" s="76" t="s">
        <v>124</v>
      </c>
      <c r="P152" s="76" t="s">
        <v>124</v>
      </c>
      <c r="Q152" s="76" t="s">
        <v>124</v>
      </c>
      <c r="R152" s="83"/>
      <c r="S152" s="83"/>
    </row>
    <row r="153" spans="1:19" x14ac:dyDescent="0.25">
      <c r="A153" s="82">
        <v>149</v>
      </c>
      <c r="B153" s="57" t="s">
        <v>486</v>
      </c>
      <c r="C153" s="57" t="s">
        <v>31</v>
      </c>
      <c r="D153" s="83" t="s">
        <v>452</v>
      </c>
      <c r="E153" s="83" t="s">
        <v>513</v>
      </c>
      <c r="F153" s="82">
        <v>81280</v>
      </c>
      <c r="G153" s="83" t="s">
        <v>34</v>
      </c>
      <c r="H153" s="88"/>
      <c r="I153" s="54">
        <v>480000</v>
      </c>
      <c r="J153" s="54">
        <f t="shared" si="7"/>
        <v>480000</v>
      </c>
      <c r="K153" s="58" t="s">
        <v>124</v>
      </c>
      <c r="L153" s="56">
        <f t="shared" si="6"/>
        <v>24000</v>
      </c>
      <c r="M153" s="76" t="s">
        <v>124</v>
      </c>
      <c r="N153" s="76" t="s">
        <v>124</v>
      </c>
      <c r="O153" s="76" t="s">
        <v>124</v>
      </c>
      <c r="P153" s="76" t="s">
        <v>124</v>
      </c>
      <c r="Q153" s="76" t="s">
        <v>124</v>
      </c>
      <c r="R153" s="83"/>
      <c r="S153" s="83"/>
    </row>
    <row r="154" spans="1:19" x14ac:dyDescent="0.25">
      <c r="A154" s="82">
        <v>150</v>
      </c>
      <c r="B154" s="57" t="s">
        <v>486</v>
      </c>
      <c r="C154" s="57" t="s">
        <v>31</v>
      </c>
      <c r="D154" s="83" t="s">
        <v>514</v>
      </c>
      <c r="E154" s="83" t="s">
        <v>515</v>
      </c>
      <c r="F154" s="82">
        <v>81240</v>
      </c>
      <c r="G154" s="83" t="s">
        <v>34</v>
      </c>
      <c r="H154" s="88"/>
      <c r="I154" s="54">
        <v>343000</v>
      </c>
      <c r="J154" s="54">
        <f t="shared" si="7"/>
        <v>343000</v>
      </c>
      <c r="K154" s="58" t="s">
        <v>124</v>
      </c>
      <c r="L154" s="56">
        <f t="shared" si="6"/>
        <v>17150</v>
      </c>
      <c r="M154" s="76" t="s">
        <v>124</v>
      </c>
      <c r="N154" s="76" t="s">
        <v>124</v>
      </c>
      <c r="O154" s="76" t="s">
        <v>124</v>
      </c>
      <c r="P154" s="76" t="s">
        <v>124</v>
      </c>
      <c r="Q154" s="76" t="s">
        <v>124</v>
      </c>
      <c r="R154" s="83"/>
      <c r="S154" s="83"/>
    </row>
    <row r="155" spans="1:19" x14ac:dyDescent="0.25">
      <c r="A155" s="82">
        <v>151</v>
      </c>
      <c r="B155" s="57" t="s">
        <v>486</v>
      </c>
      <c r="C155" s="57" t="s">
        <v>31</v>
      </c>
      <c r="D155" s="83" t="s">
        <v>516</v>
      </c>
      <c r="E155" s="83" t="s">
        <v>459</v>
      </c>
      <c r="F155" s="82">
        <v>82138</v>
      </c>
      <c r="G155" s="83" t="s">
        <v>101</v>
      </c>
      <c r="H155" s="88"/>
      <c r="I155" s="54">
        <v>120160</v>
      </c>
      <c r="J155" s="54">
        <f t="shared" si="7"/>
        <v>120160</v>
      </c>
      <c r="K155" s="58" t="s">
        <v>124</v>
      </c>
      <c r="L155" s="56">
        <f t="shared" si="6"/>
        <v>6008</v>
      </c>
      <c r="M155" s="76" t="s">
        <v>124</v>
      </c>
      <c r="N155" s="76" t="s">
        <v>124</v>
      </c>
      <c r="O155" s="76" t="s">
        <v>124</v>
      </c>
      <c r="P155" s="76" t="s">
        <v>124</v>
      </c>
      <c r="Q155" s="76" t="s">
        <v>124</v>
      </c>
      <c r="R155" s="83"/>
      <c r="S155" s="83"/>
    </row>
    <row r="156" spans="1:19" x14ac:dyDescent="0.25">
      <c r="A156" s="82">
        <v>152</v>
      </c>
      <c r="B156" s="57" t="s">
        <v>486</v>
      </c>
      <c r="C156" s="57" t="s">
        <v>31</v>
      </c>
      <c r="D156" s="83" t="s">
        <v>460</v>
      </c>
      <c r="E156" s="83" t="s">
        <v>461</v>
      </c>
      <c r="F156" s="82">
        <v>81240</v>
      </c>
      <c r="G156" s="83" t="s">
        <v>34</v>
      </c>
      <c r="H156" s="88"/>
      <c r="I156" s="54">
        <v>1642000</v>
      </c>
      <c r="J156" s="54">
        <f t="shared" si="7"/>
        <v>1642000</v>
      </c>
      <c r="K156" s="58" t="s">
        <v>124</v>
      </c>
      <c r="L156" s="56">
        <f t="shared" si="6"/>
        <v>82100</v>
      </c>
      <c r="M156" s="76" t="s">
        <v>124</v>
      </c>
      <c r="N156" s="76" t="s">
        <v>124</v>
      </c>
      <c r="O156" s="76" t="s">
        <v>124</v>
      </c>
      <c r="P156" s="76" t="s">
        <v>124</v>
      </c>
      <c r="Q156" s="76" t="s">
        <v>124</v>
      </c>
      <c r="R156" s="83"/>
      <c r="S156" s="83"/>
    </row>
    <row r="157" spans="1:19" x14ac:dyDescent="0.25">
      <c r="A157" s="82">
        <v>153</v>
      </c>
      <c r="B157" s="57" t="s">
        <v>486</v>
      </c>
      <c r="C157" s="57" t="s">
        <v>31</v>
      </c>
      <c r="D157" s="83" t="s">
        <v>462</v>
      </c>
      <c r="E157" s="83" t="s">
        <v>463</v>
      </c>
      <c r="F157" s="82">
        <v>80199</v>
      </c>
      <c r="G157" s="83" t="s">
        <v>5</v>
      </c>
      <c r="H157" s="88"/>
      <c r="I157" s="54">
        <v>109080</v>
      </c>
      <c r="J157" s="54">
        <f t="shared" si="7"/>
        <v>109080</v>
      </c>
      <c r="K157" s="58" t="s">
        <v>124</v>
      </c>
      <c r="L157" s="56">
        <f t="shared" si="6"/>
        <v>5454</v>
      </c>
      <c r="M157" s="76" t="s">
        <v>124</v>
      </c>
      <c r="N157" s="76" t="s">
        <v>124</v>
      </c>
      <c r="O157" s="76" t="s">
        <v>124</v>
      </c>
      <c r="P157" s="76" t="s">
        <v>124</v>
      </c>
      <c r="Q157" s="76" t="s">
        <v>124</v>
      </c>
      <c r="R157" s="83"/>
      <c r="S157" s="83"/>
    </row>
    <row r="158" spans="1:19" x14ac:dyDescent="0.25">
      <c r="A158" s="82">
        <v>154</v>
      </c>
      <c r="B158" s="57" t="s">
        <v>486</v>
      </c>
      <c r="C158" s="57" t="s">
        <v>31</v>
      </c>
      <c r="D158" s="83" t="s">
        <v>464</v>
      </c>
      <c r="E158" s="83" t="s">
        <v>463</v>
      </c>
      <c r="F158" s="82">
        <v>80199</v>
      </c>
      <c r="G158" s="83" t="s">
        <v>5</v>
      </c>
      <c r="H158" s="88"/>
      <c r="I158" s="54">
        <v>148000</v>
      </c>
      <c r="J158" s="54">
        <f t="shared" si="7"/>
        <v>148000</v>
      </c>
      <c r="K158" s="58" t="s">
        <v>124</v>
      </c>
      <c r="L158" s="56">
        <f t="shared" si="6"/>
        <v>7400</v>
      </c>
      <c r="M158" s="76" t="s">
        <v>124</v>
      </c>
      <c r="N158" s="76" t="s">
        <v>124</v>
      </c>
      <c r="O158" s="76" t="s">
        <v>124</v>
      </c>
      <c r="P158" s="76" t="s">
        <v>124</v>
      </c>
      <c r="Q158" s="76" t="s">
        <v>124</v>
      </c>
      <c r="R158" s="83"/>
      <c r="S158" s="83"/>
    </row>
    <row r="159" spans="1:19" x14ac:dyDescent="0.25">
      <c r="A159" s="82">
        <v>155</v>
      </c>
      <c r="B159" s="57" t="s">
        <v>486</v>
      </c>
      <c r="C159" s="57" t="s">
        <v>31</v>
      </c>
      <c r="D159" s="83" t="s">
        <v>517</v>
      </c>
      <c r="E159" s="83" t="s">
        <v>463</v>
      </c>
      <c r="F159" s="82">
        <v>80199</v>
      </c>
      <c r="G159" s="83" t="s">
        <v>5</v>
      </c>
      <c r="H159" s="88"/>
      <c r="I159" s="54">
        <v>168000</v>
      </c>
      <c r="J159" s="54">
        <f t="shared" si="7"/>
        <v>168000</v>
      </c>
      <c r="K159" s="58" t="s">
        <v>124</v>
      </c>
      <c r="L159" s="56">
        <f t="shared" si="6"/>
        <v>8400</v>
      </c>
      <c r="M159" s="76" t="s">
        <v>124</v>
      </c>
      <c r="N159" s="76" t="s">
        <v>124</v>
      </c>
      <c r="O159" s="76" t="s">
        <v>124</v>
      </c>
      <c r="P159" s="76" t="s">
        <v>124</v>
      </c>
      <c r="Q159" s="76" t="s">
        <v>124</v>
      </c>
      <c r="R159" s="83"/>
      <c r="S159" s="83"/>
    </row>
    <row r="160" spans="1:19" x14ac:dyDescent="0.25">
      <c r="A160" s="82">
        <v>156</v>
      </c>
      <c r="B160" s="57" t="s">
        <v>486</v>
      </c>
      <c r="C160" s="57" t="s">
        <v>31</v>
      </c>
      <c r="D160" s="83" t="s">
        <v>466</v>
      </c>
      <c r="E160" s="83" t="s">
        <v>463</v>
      </c>
      <c r="F160" s="82">
        <v>80199</v>
      </c>
      <c r="G160" s="83" t="s">
        <v>5</v>
      </c>
      <c r="H160" s="88"/>
      <c r="I160" s="54">
        <v>159600</v>
      </c>
      <c r="J160" s="54">
        <f t="shared" si="7"/>
        <v>159600</v>
      </c>
      <c r="K160" s="58" t="s">
        <v>124</v>
      </c>
      <c r="L160" s="56">
        <f t="shared" si="6"/>
        <v>7980</v>
      </c>
      <c r="M160" s="76" t="s">
        <v>124</v>
      </c>
      <c r="N160" s="76" t="s">
        <v>124</v>
      </c>
      <c r="O160" s="76" t="s">
        <v>124</v>
      </c>
      <c r="P160" s="76" t="s">
        <v>124</v>
      </c>
      <c r="Q160" s="76" t="s">
        <v>124</v>
      </c>
      <c r="R160" s="83"/>
      <c r="S160" s="83"/>
    </row>
    <row r="161" spans="1:19" x14ac:dyDescent="0.25">
      <c r="A161" s="82">
        <v>157</v>
      </c>
      <c r="B161" s="57" t="s">
        <v>486</v>
      </c>
      <c r="C161" s="57" t="s">
        <v>31</v>
      </c>
      <c r="D161" s="83" t="s">
        <v>467</v>
      </c>
      <c r="E161" s="83" t="s">
        <v>463</v>
      </c>
      <c r="F161" s="82">
        <v>80199</v>
      </c>
      <c r="G161" s="83" t="s">
        <v>5</v>
      </c>
      <c r="H161" s="88"/>
      <c r="I161" s="54">
        <v>3256640</v>
      </c>
      <c r="J161" s="54">
        <f t="shared" si="7"/>
        <v>3256640</v>
      </c>
      <c r="K161" s="58" t="s">
        <v>124</v>
      </c>
      <c r="L161" s="56">
        <f t="shared" si="6"/>
        <v>162832</v>
      </c>
      <c r="M161" s="76" t="s">
        <v>124</v>
      </c>
      <c r="N161" s="76" t="s">
        <v>124</v>
      </c>
      <c r="O161" s="76" t="s">
        <v>124</v>
      </c>
      <c r="P161" s="76" t="s">
        <v>124</v>
      </c>
      <c r="Q161" s="76" t="s">
        <v>124</v>
      </c>
      <c r="R161" s="83"/>
      <c r="S161" s="83"/>
    </row>
    <row r="162" spans="1:19" x14ac:dyDescent="0.25">
      <c r="A162" s="82">
        <v>158</v>
      </c>
      <c r="B162" s="57" t="s">
        <v>486</v>
      </c>
      <c r="C162" s="57" t="s">
        <v>31</v>
      </c>
      <c r="D162" s="83" t="s">
        <v>468</v>
      </c>
      <c r="E162" s="83" t="s">
        <v>469</v>
      </c>
      <c r="F162" s="82">
        <v>80010</v>
      </c>
      <c r="G162" s="83" t="s">
        <v>5</v>
      </c>
      <c r="H162" s="88"/>
      <c r="I162" s="54">
        <v>79180</v>
      </c>
      <c r="J162" s="54">
        <f t="shared" si="7"/>
        <v>79180</v>
      </c>
      <c r="K162" s="58" t="s">
        <v>124</v>
      </c>
      <c r="L162" s="56">
        <f t="shared" si="6"/>
        <v>3959</v>
      </c>
      <c r="M162" s="76" t="s">
        <v>124</v>
      </c>
      <c r="N162" s="76" t="s">
        <v>124</v>
      </c>
      <c r="O162" s="76" t="s">
        <v>124</v>
      </c>
      <c r="P162" s="76" t="s">
        <v>124</v>
      </c>
      <c r="Q162" s="76" t="s">
        <v>124</v>
      </c>
      <c r="R162" s="83"/>
      <c r="S162" s="83"/>
    </row>
    <row r="163" spans="1:19" ht="13.5" x14ac:dyDescent="0.25">
      <c r="A163" s="136"/>
      <c r="B163" s="137"/>
      <c r="C163" s="137"/>
      <c r="D163" s="138"/>
      <c r="E163" s="139" t="s">
        <v>137</v>
      </c>
      <c r="F163" s="140"/>
      <c r="G163" s="141"/>
      <c r="H163" s="142">
        <f t="shared" ref="H163:S163" si="8">SUM(H43:H162)</f>
        <v>0</v>
      </c>
      <c r="I163" s="142">
        <f t="shared" si="8"/>
        <v>112621740</v>
      </c>
      <c r="J163" s="142">
        <f t="shared" si="8"/>
        <v>112621740</v>
      </c>
      <c r="K163" s="142">
        <f t="shared" si="8"/>
        <v>0</v>
      </c>
      <c r="L163" s="142">
        <f t="shared" si="8"/>
        <v>5631087</v>
      </c>
      <c r="M163" s="142">
        <f t="shared" si="8"/>
        <v>0</v>
      </c>
      <c r="N163" s="142">
        <f t="shared" si="8"/>
        <v>0</v>
      </c>
      <c r="O163" s="142">
        <f t="shared" si="8"/>
        <v>0</v>
      </c>
      <c r="P163" s="142">
        <f t="shared" si="8"/>
        <v>0</v>
      </c>
      <c r="Q163" s="142">
        <f t="shared" si="8"/>
        <v>0</v>
      </c>
      <c r="R163" s="142">
        <f t="shared" si="8"/>
        <v>0</v>
      </c>
      <c r="S163" s="142">
        <f t="shared" si="8"/>
        <v>0</v>
      </c>
    </row>
    <row r="164" spans="1:19" x14ac:dyDescent="0.25">
      <c r="A164" s="117"/>
      <c r="B164" s="118"/>
      <c r="C164" s="118"/>
      <c r="D164" s="119"/>
      <c r="E164" s="120"/>
      <c r="F164" s="121"/>
      <c r="G164" s="120"/>
      <c r="H164" s="91"/>
      <c r="I164" s="90"/>
      <c r="J164" s="90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1:19" s="3" customFormat="1" ht="18" x14ac:dyDescent="0.25">
      <c r="A165" s="112"/>
      <c r="B165" s="161" t="s">
        <v>196</v>
      </c>
      <c r="C165" s="113"/>
      <c r="D165" s="160" t="s">
        <v>84</v>
      </c>
      <c r="E165" s="114"/>
      <c r="F165" s="112"/>
      <c r="G165" s="114"/>
      <c r="H165" s="89"/>
      <c r="I165" s="115"/>
      <c r="J165" s="115"/>
      <c r="K165" s="116"/>
      <c r="L165" s="116"/>
      <c r="M165" s="116"/>
      <c r="N165" s="116"/>
      <c r="O165" s="116"/>
      <c r="P165" s="116"/>
      <c r="Q165" s="116"/>
      <c r="R165" s="116"/>
      <c r="S165" s="116"/>
    </row>
    <row r="166" spans="1:19" x14ac:dyDescent="0.25">
      <c r="A166" s="50">
        <v>1</v>
      </c>
      <c r="B166" s="51" t="s">
        <v>191</v>
      </c>
      <c r="C166" s="51" t="s">
        <v>28</v>
      </c>
      <c r="D166" s="52" t="s">
        <v>89</v>
      </c>
      <c r="E166" s="51" t="s">
        <v>111</v>
      </c>
      <c r="F166" s="50">
        <v>80000</v>
      </c>
      <c r="G166" s="51" t="s">
        <v>40</v>
      </c>
      <c r="H166" s="53">
        <v>17786488.155255701</v>
      </c>
      <c r="I166" s="54">
        <f>H166*0.235649</f>
        <v>4191368.1472978508</v>
      </c>
      <c r="J166" s="54">
        <f t="shared" ref="J166:J172" si="9">+H166+I166</f>
        <v>21977856.302553553</v>
      </c>
      <c r="K166" s="79" t="s">
        <v>124</v>
      </c>
      <c r="L166" s="85">
        <f t="shared" ref="L166:L171" si="10">(H166+I166)*5%</f>
        <v>1098892.8151276777</v>
      </c>
      <c r="M166" s="80" t="s">
        <v>124</v>
      </c>
      <c r="N166" s="80" t="s">
        <v>124</v>
      </c>
      <c r="O166" s="80" t="s">
        <v>124</v>
      </c>
      <c r="P166" s="80" t="s">
        <v>124</v>
      </c>
      <c r="Q166" s="80" t="s">
        <v>124</v>
      </c>
      <c r="R166" s="84">
        <v>2892800.22</v>
      </c>
      <c r="S166" s="83"/>
    </row>
    <row r="167" spans="1:19" x14ac:dyDescent="0.25">
      <c r="A167" s="50">
        <v>2</v>
      </c>
      <c r="B167" s="51" t="s">
        <v>191</v>
      </c>
      <c r="C167" s="51" t="s">
        <v>28</v>
      </c>
      <c r="D167" s="52" t="s">
        <v>97</v>
      </c>
      <c r="E167" s="51" t="s">
        <v>113</v>
      </c>
      <c r="F167" s="50">
        <v>80100</v>
      </c>
      <c r="G167" s="51" t="s">
        <v>40</v>
      </c>
      <c r="H167" s="53">
        <v>26061106.999999996</v>
      </c>
      <c r="I167" s="54">
        <v>70481579.810000002</v>
      </c>
      <c r="J167" s="54">
        <f t="shared" si="9"/>
        <v>96542686.810000002</v>
      </c>
      <c r="K167" s="79" t="s">
        <v>124</v>
      </c>
      <c r="L167" s="85">
        <f t="shared" si="10"/>
        <v>4827134.3404999999</v>
      </c>
      <c r="M167" s="80" t="s">
        <v>124</v>
      </c>
      <c r="N167" s="80" t="s">
        <v>124</v>
      </c>
      <c r="O167" s="80" t="s">
        <v>124</v>
      </c>
      <c r="P167" s="80" t="s">
        <v>124</v>
      </c>
      <c r="Q167" s="80" t="s">
        <v>124</v>
      </c>
      <c r="R167" s="84">
        <v>7763197.6299999999</v>
      </c>
      <c r="S167" s="83"/>
    </row>
    <row r="168" spans="1:19" x14ac:dyDescent="0.25">
      <c r="A168" s="50">
        <v>3</v>
      </c>
      <c r="B168" s="51" t="s">
        <v>191</v>
      </c>
      <c r="C168" s="51" t="s">
        <v>28</v>
      </c>
      <c r="D168" s="68" t="s">
        <v>3</v>
      </c>
      <c r="E168" s="51" t="s">
        <v>58</v>
      </c>
      <c r="F168" s="50">
        <v>81240</v>
      </c>
      <c r="G168" s="51" t="s">
        <v>2</v>
      </c>
      <c r="H168" s="53">
        <v>3982620.2936207596</v>
      </c>
      <c r="I168" s="54">
        <v>1995438.93</v>
      </c>
      <c r="J168" s="54">
        <f t="shared" si="9"/>
        <v>5978059.2236207593</v>
      </c>
      <c r="K168" s="79" t="s">
        <v>124</v>
      </c>
      <c r="L168" s="85">
        <f t="shared" si="10"/>
        <v>298902.961181038</v>
      </c>
      <c r="M168" s="80" t="s">
        <v>124</v>
      </c>
      <c r="N168" s="80" t="s">
        <v>124</v>
      </c>
      <c r="O168" s="80" t="s">
        <v>124</v>
      </c>
      <c r="P168" s="80" t="s">
        <v>124</v>
      </c>
      <c r="Q168" s="80" t="s">
        <v>124</v>
      </c>
      <c r="R168" s="92">
        <v>555733.49</v>
      </c>
      <c r="S168" s="83"/>
    </row>
    <row r="169" spans="1:19" x14ac:dyDescent="0.25">
      <c r="A169" s="50">
        <v>4</v>
      </c>
      <c r="B169" s="51" t="s">
        <v>191</v>
      </c>
      <c r="C169" s="51" t="s">
        <v>28</v>
      </c>
      <c r="D169" s="68" t="s">
        <v>3</v>
      </c>
      <c r="E169" s="51" t="s">
        <v>140</v>
      </c>
      <c r="F169" s="50">
        <v>81240</v>
      </c>
      <c r="G169" s="51" t="s">
        <v>2</v>
      </c>
      <c r="H169" s="53">
        <v>2353117.9994600005</v>
      </c>
      <c r="I169" s="54">
        <f>H169*0.235649</f>
        <v>554509.90345474961</v>
      </c>
      <c r="J169" s="54">
        <f t="shared" si="9"/>
        <v>2907627.9029147504</v>
      </c>
      <c r="K169" s="79" t="s">
        <v>124</v>
      </c>
      <c r="L169" s="85">
        <f t="shared" si="10"/>
        <v>145381.39514573754</v>
      </c>
      <c r="M169" s="80" t="s">
        <v>124</v>
      </c>
      <c r="N169" s="80" t="s">
        <v>124</v>
      </c>
      <c r="O169" s="80" t="s">
        <v>124</v>
      </c>
      <c r="P169" s="80" t="s">
        <v>124</v>
      </c>
      <c r="Q169" s="80" t="s">
        <v>124</v>
      </c>
      <c r="R169" s="83"/>
      <c r="S169" s="83"/>
    </row>
    <row r="170" spans="1:19" ht="12.75" customHeight="1" x14ac:dyDescent="0.25">
      <c r="A170" s="50">
        <v>5</v>
      </c>
      <c r="B170" s="51" t="s">
        <v>191</v>
      </c>
      <c r="C170" s="51" t="s">
        <v>28</v>
      </c>
      <c r="D170" s="68" t="s">
        <v>96</v>
      </c>
      <c r="E170" s="61" t="s">
        <v>64</v>
      </c>
      <c r="F170" s="60">
        <v>80308</v>
      </c>
      <c r="G170" s="51" t="s">
        <v>40</v>
      </c>
      <c r="H170" s="53">
        <v>13763832.490979999</v>
      </c>
      <c r="I170" s="54">
        <v>73832340.25</v>
      </c>
      <c r="J170" s="54">
        <f t="shared" si="9"/>
        <v>87596172.740979999</v>
      </c>
      <c r="K170" s="79" t="s">
        <v>124</v>
      </c>
      <c r="L170" s="85">
        <f t="shared" si="10"/>
        <v>4379808.6370489998</v>
      </c>
      <c r="M170" s="80" t="s">
        <v>124</v>
      </c>
      <c r="N170" s="80" t="s">
        <v>124</v>
      </c>
      <c r="O170" s="80" t="s">
        <v>124</v>
      </c>
      <c r="P170" s="80" t="s">
        <v>124</v>
      </c>
      <c r="Q170" s="80" t="s">
        <v>124</v>
      </c>
      <c r="R170" s="84">
        <v>4698935.49</v>
      </c>
      <c r="S170" s="83"/>
    </row>
    <row r="171" spans="1:19" x14ac:dyDescent="0.25">
      <c r="A171" s="50">
        <v>6</v>
      </c>
      <c r="B171" s="51" t="s">
        <v>191</v>
      </c>
      <c r="C171" s="51" t="s">
        <v>28</v>
      </c>
      <c r="D171" s="68" t="s">
        <v>93</v>
      </c>
      <c r="E171" s="51" t="s">
        <v>112</v>
      </c>
      <c r="F171" s="50">
        <v>80100</v>
      </c>
      <c r="G171" s="51" t="s">
        <v>40</v>
      </c>
      <c r="H171" s="53">
        <v>11686491.680325</v>
      </c>
      <c r="I171" s="54">
        <v>25386280.399999999</v>
      </c>
      <c r="J171" s="54">
        <f t="shared" si="9"/>
        <v>37072772.080325</v>
      </c>
      <c r="K171" s="79" t="s">
        <v>124</v>
      </c>
      <c r="L171" s="85">
        <f t="shared" si="10"/>
        <v>1853638.60401625</v>
      </c>
      <c r="M171" s="80" t="s">
        <v>124</v>
      </c>
      <c r="N171" s="80" t="s">
        <v>124</v>
      </c>
      <c r="O171" s="80" t="s">
        <v>124</v>
      </c>
      <c r="P171" s="80" t="s">
        <v>124</v>
      </c>
      <c r="Q171" s="80" t="s">
        <v>124</v>
      </c>
      <c r="R171" s="84">
        <v>9433823.4299999997</v>
      </c>
      <c r="S171" s="83"/>
    </row>
    <row r="172" spans="1:19" s="123" customFormat="1" x14ac:dyDescent="0.2">
      <c r="A172" s="135"/>
      <c r="B172" s="134"/>
      <c r="C172" s="134"/>
      <c r="D172" s="134"/>
      <c r="E172" s="131" t="s">
        <v>192</v>
      </c>
      <c r="F172" s="135"/>
      <c r="G172" s="134"/>
      <c r="H172" s="133">
        <f>SUM(H166:H171)</f>
        <v>75633657.619641453</v>
      </c>
      <c r="I172" s="133">
        <f>SUM(I166:I171)</f>
        <v>176441517.4407526</v>
      </c>
      <c r="J172" s="133">
        <f t="shared" si="9"/>
        <v>252075175.06039405</v>
      </c>
      <c r="K172" s="133">
        <f t="shared" ref="K172:S172" si="11">SUM(K166:K171)</f>
        <v>0</v>
      </c>
      <c r="L172" s="133">
        <f t="shared" si="11"/>
        <v>12603758.753019704</v>
      </c>
      <c r="M172" s="133">
        <f t="shared" si="11"/>
        <v>0</v>
      </c>
      <c r="N172" s="133">
        <f t="shared" si="11"/>
        <v>0</v>
      </c>
      <c r="O172" s="133">
        <f t="shared" si="11"/>
        <v>0</v>
      </c>
      <c r="P172" s="168">
        <f t="shared" si="11"/>
        <v>0</v>
      </c>
      <c r="Q172" s="168">
        <f t="shared" si="11"/>
        <v>0</v>
      </c>
      <c r="R172" s="133">
        <f t="shared" si="11"/>
        <v>25344490.259999998</v>
      </c>
      <c r="S172" s="133">
        <f t="shared" si="11"/>
        <v>0</v>
      </c>
    </row>
    <row r="173" spans="1:19" x14ac:dyDescent="0.25">
      <c r="P173" s="152"/>
      <c r="Q173" s="152"/>
    </row>
    <row r="174" spans="1:19" ht="15.75" x14ac:dyDescent="0.25">
      <c r="D174" s="162" t="s">
        <v>470</v>
      </c>
      <c r="H174" s="94"/>
      <c r="J174" s="148"/>
      <c r="P174" s="152"/>
      <c r="Q174" s="152"/>
    </row>
    <row r="175" spans="1:19" x14ac:dyDescent="0.25">
      <c r="A175" s="50">
        <v>1</v>
      </c>
      <c r="B175" s="57" t="s">
        <v>486</v>
      </c>
      <c r="C175" s="51" t="s">
        <v>28</v>
      </c>
      <c r="D175" s="95" t="s">
        <v>143</v>
      </c>
      <c r="E175" s="95" t="s">
        <v>144</v>
      </c>
      <c r="F175" s="50"/>
      <c r="G175" s="95" t="s">
        <v>5</v>
      </c>
      <c r="H175" s="96"/>
      <c r="I175" s="97">
        <v>873240</v>
      </c>
      <c r="J175" s="149">
        <f>+H175+I175</f>
        <v>873240</v>
      </c>
      <c r="K175" s="79" t="s">
        <v>124</v>
      </c>
      <c r="L175" s="85">
        <f t="shared" ref="L175:L190" si="12">(H175+I175)*5%</f>
        <v>43662</v>
      </c>
      <c r="M175" s="76" t="s">
        <v>124</v>
      </c>
      <c r="N175" s="76" t="s">
        <v>124</v>
      </c>
      <c r="O175" s="76" t="s">
        <v>124</v>
      </c>
      <c r="P175" s="76" t="s">
        <v>124</v>
      </c>
      <c r="Q175" s="76" t="s">
        <v>124</v>
      </c>
      <c r="R175" s="83"/>
      <c r="S175" s="83"/>
    </row>
    <row r="176" spans="1:19" x14ac:dyDescent="0.25">
      <c r="A176" s="50">
        <v>2</v>
      </c>
      <c r="B176" s="57" t="s">
        <v>486</v>
      </c>
      <c r="C176" s="51" t="s">
        <v>28</v>
      </c>
      <c r="D176" s="95" t="s">
        <v>145</v>
      </c>
      <c r="E176" s="95" t="s">
        <v>146</v>
      </c>
      <c r="F176" s="98"/>
      <c r="G176" s="95" t="s">
        <v>5</v>
      </c>
      <c r="H176" s="96"/>
      <c r="I176" s="97">
        <v>1020040</v>
      </c>
      <c r="J176" s="149">
        <f t="shared" ref="J176:J190" si="13">+H176+I176</f>
        <v>1020040</v>
      </c>
      <c r="K176" s="79" t="s">
        <v>124</v>
      </c>
      <c r="L176" s="85">
        <f t="shared" si="12"/>
        <v>51002</v>
      </c>
      <c r="M176" s="76" t="s">
        <v>124</v>
      </c>
      <c r="N176" s="76" t="s">
        <v>124</v>
      </c>
      <c r="O176" s="76" t="s">
        <v>124</v>
      </c>
      <c r="P176" s="76" t="s">
        <v>124</v>
      </c>
      <c r="Q176" s="76" t="s">
        <v>124</v>
      </c>
      <c r="R176" s="83"/>
      <c r="S176" s="83"/>
    </row>
    <row r="177" spans="1:19" x14ac:dyDescent="0.25">
      <c r="A177" s="50">
        <v>3</v>
      </c>
      <c r="B177" s="57" t="s">
        <v>486</v>
      </c>
      <c r="C177" s="51" t="s">
        <v>28</v>
      </c>
      <c r="D177" s="95" t="s">
        <v>147</v>
      </c>
      <c r="E177" s="95" t="s">
        <v>148</v>
      </c>
      <c r="F177" s="98"/>
      <c r="G177" s="95" t="s">
        <v>130</v>
      </c>
      <c r="H177" s="96"/>
      <c r="I177" s="97">
        <v>1901980</v>
      </c>
      <c r="J177" s="149">
        <f t="shared" si="13"/>
        <v>1901980</v>
      </c>
      <c r="K177" s="79" t="s">
        <v>124</v>
      </c>
      <c r="L177" s="85">
        <f t="shared" si="12"/>
        <v>95099</v>
      </c>
      <c r="M177" s="76" t="s">
        <v>124</v>
      </c>
      <c r="N177" s="76" t="s">
        <v>124</v>
      </c>
      <c r="O177" s="76" t="s">
        <v>124</v>
      </c>
      <c r="P177" s="76" t="s">
        <v>124</v>
      </c>
      <c r="Q177" s="76" t="s">
        <v>124</v>
      </c>
      <c r="R177" s="83"/>
      <c r="S177" s="83"/>
    </row>
    <row r="178" spans="1:19" x14ac:dyDescent="0.25">
      <c r="A178" s="50">
        <v>4</v>
      </c>
      <c r="B178" s="57" t="s">
        <v>486</v>
      </c>
      <c r="C178" s="51" t="s">
        <v>28</v>
      </c>
      <c r="D178" s="95" t="s">
        <v>149</v>
      </c>
      <c r="E178" s="95" t="s">
        <v>150</v>
      </c>
      <c r="F178" s="98"/>
      <c r="G178" s="95" t="s">
        <v>5</v>
      </c>
      <c r="H178" s="96"/>
      <c r="I178" s="97">
        <v>2000000</v>
      </c>
      <c r="J178" s="149">
        <f t="shared" si="13"/>
        <v>2000000</v>
      </c>
      <c r="K178" s="79" t="s">
        <v>124</v>
      </c>
      <c r="L178" s="85">
        <f t="shared" si="12"/>
        <v>100000</v>
      </c>
      <c r="M178" s="76" t="s">
        <v>124</v>
      </c>
      <c r="N178" s="76" t="s">
        <v>124</v>
      </c>
      <c r="O178" s="76" t="s">
        <v>124</v>
      </c>
      <c r="P178" s="76" t="s">
        <v>124</v>
      </c>
      <c r="Q178" s="76" t="s">
        <v>124</v>
      </c>
      <c r="R178" s="83"/>
      <c r="S178" s="83"/>
    </row>
    <row r="179" spans="1:19" x14ac:dyDescent="0.25">
      <c r="A179" s="50">
        <v>5</v>
      </c>
      <c r="B179" s="57" t="s">
        <v>486</v>
      </c>
      <c r="C179" s="51" t="s">
        <v>28</v>
      </c>
      <c r="D179" s="95" t="s">
        <v>151</v>
      </c>
      <c r="E179" s="95" t="s">
        <v>152</v>
      </c>
      <c r="F179" s="98"/>
      <c r="G179" s="95" t="s">
        <v>5</v>
      </c>
      <c r="H179" s="96"/>
      <c r="I179" s="97">
        <v>2260000</v>
      </c>
      <c r="J179" s="149">
        <f t="shared" si="13"/>
        <v>2260000</v>
      </c>
      <c r="K179" s="79" t="s">
        <v>124</v>
      </c>
      <c r="L179" s="85">
        <f t="shared" si="12"/>
        <v>113000</v>
      </c>
      <c r="M179" s="76" t="s">
        <v>124</v>
      </c>
      <c r="N179" s="76" t="s">
        <v>124</v>
      </c>
      <c r="O179" s="76" t="s">
        <v>124</v>
      </c>
      <c r="P179" s="76" t="s">
        <v>124</v>
      </c>
      <c r="Q179" s="76" t="s">
        <v>124</v>
      </c>
      <c r="R179" s="83"/>
      <c r="S179" s="83"/>
    </row>
    <row r="180" spans="1:19" x14ac:dyDescent="0.25">
      <c r="A180" s="50">
        <v>6</v>
      </c>
      <c r="B180" s="57" t="s">
        <v>486</v>
      </c>
      <c r="C180" s="51" t="s">
        <v>28</v>
      </c>
      <c r="D180" s="95" t="s">
        <v>153</v>
      </c>
      <c r="E180" s="95" t="s">
        <v>154</v>
      </c>
      <c r="F180" s="98"/>
      <c r="G180" s="95" t="s">
        <v>5</v>
      </c>
      <c r="H180" s="96"/>
      <c r="I180" s="97">
        <v>480880</v>
      </c>
      <c r="J180" s="149">
        <f t="shared" si="13"/>
        <v>480880</v>
      </c>
      <c r="K180" s="79" t="s">
        <v>124</v>
      </c>
      <c r="L180" s="85">
        <f t="shared" si="12"/>
        <v>24044</v>
      </c>
      <c r="M180" s="76" t="s">
        <v>124</v>
      </c>
      <c r="N180" s="76" t="s">
        <v>124</v>
      </c>
      <c r="O180" s="76" t="s">
        <v>124</v>
      </c>
      <c r="P180" s="76" t="s">
        <v>124</v>
      </c>
      <c r="Q180" s="76" t="s">
        <v>124</v>
      </c>
      <c r="R180" s="83"/>
      <c r="S180" s="83"/>
    </row>
    <row r="181" spans="1:19" x14ac:dyDescent="0.25">
      <c r="A181" s="50">
        <v>7</v>
      </c>
      <c r="B181" s="57" t="s">
        <v>486</v>
      </c>
      <c r="C181" s="51" t="s">
        <v>28</v>
      </c>
      <c r="D181" s="95" t="s">
        <v>155</v>
      </c>
      <c r="E181" s="95" t="s">
        <v>156</v>
      </c>
      <c r="F181" s="98"/>
      <c r="G181" s="95" t="s">
        <v>5</v>
      </c>
      <c r="H181" s="96"/>
      <c r="I181" s="97">
        <v>23896560</v>
      </c>
      <c r="J181" s="149">
        <f t="shared" si="13"/>
        <v>23896560</v>
      </c>
      <c r="K181" s="79" t="s">
        <v>124</v>
      </c>
      <c r="L181" s="85">
        <f t="shared" si="12"/>
        <v>1194828</v>
      </c>
      <c r="M181" s="76" t="s">
        <v>124</v>
      </c>
      <c r="N181" s="76" t="s">
        <v>124</v>
      </c>
      <c r="O181" s="76" t="s">
        <v>124</v>
      </c>
      <c r="P181" s="76" t="s">
        <v>124</v>
      </c>
      <c r="Q181" s="76" t="s">
        <v>124</v>
      </c>
      <c r="R181" s="83"/>
      <c r="S181" s="83"/>
    </row>
    <row r="182" spans="1:19" x14ac:dyDescent="0.25">
      <c r="A182" s="50">
        <v>8</v>
      </c>
      <c r="B182" s="57" t="s">
        <v>486</v>
      </c>
      <c r="C182" s="51" t="s">
        <v>28</v>
      </c>
      <c r="D182" s="95" t="s">
        <v>157</v>
      </c>
      <c r="E182" s="95" t="s">
        <v>158</v>
      </c>
      <c r="F182" s="98"/>
      <c r="G182" s="95" t="s">
        <v>5</v>
      </c>
      <c r="H182" s="96"/>
      <c r="I182" s="97">
        <v>2160000</v>
      </c>
      <c r="J182" s="149">
        <f t="shared" si="13"/>
        <v>2160000</v>
      </c>
      <c r="K182" s="79" t="s">
        <v>124</v>
      </c>
      <c r="L182" s="85">
        <f t="shared" si="12"/>
        <v>108000</v>
      </c>
      <c r="M182" s="76" t="s">
        <v>124</v>
      </c>
      <c r="N182" s="76" t="s">
        <v>124</v>
      </c>
      <c r="O182" s="76" t="s">
        <v>124</v>
      </c>
      <c r="P182" s="76" t="s">
        <v>124</v>
      </c>
      <c r="Q182" s="76" t="s">
        <v>124</v>
      </c>
      <c r="R182" s="83"/>
      <c r="S182" s="83"/>
    </row>
    <row r="183" spans="1:19" x14ac:dyDescent="0.25">
      <c r="A183" s="50">
        <v>9</v>
      </c>
      <c r="B183" s="57" t="s">
        <v>486</v>
      </c>
      <c r="C183" s="51" t="s">
        <v>28</v>
      </c>
      <c r="D183" s="95" t="s">
        <v>159</v>
      </c>
      <c r="E183" s="95" t="s">
        <v>160</v>
      </c>
      <c r="F183" s="98"/>
      <c r="G183" s="95" t="s">
        <v>5</v>
      </c>
      <c r="H183" s="96"/>
      <c r="I183" s="97">
        <v>974000</v>
      </c>
      <c r="J183" s="149">
        <f t="shared" si="13"/>
        <v>974000</v>
      </c>
      <c r="K183" s="79" t="s">
        <v>124</v>
      </c>
      <c r="L183" s="85">
        <f t="shared" si="12"/>
        <v>48700</v>
      </c>
      <c r="M183" s="76" t="s">
        <v>124</v>
      </c>
      <c r="N183" s="76" t="s">
        <v>124</v>
      </c>
      <c r="O183" s="76" t="s">
        <v>124</v>
      </c>
      <c r="P183" s="76" t="s">
        <v>124</v>
      </c>
      <c r="Q183" s="76" t="s">
        <v>124</v>
      </c>
      <c r="R183" s="83"/>
      <c r="S183" s="83"/>
    </row>
    <row r="184" spans="1:19" x14ac:dyDescent="0.25">
      <c r="A184" s="50">
        <v>10</v>
      </c>
      <c r="B184" s="57" t="s">
        <v>486</v>
      </c>
      <c r="C184" s="51" t="s">
        <v>28</v>
      </c>
      <c r="D184" s="95" t="s">
        <v>161</v>
      </c>
      <c r="E184" s="95" t="s">
        <v>162</v>
      </c>
      <c r="F184" s="98"/>
      <c r="G184" s="95" t="s">
        <v>2</v>
      </c>
      <c r="H184" s="96"/>
      <c r="I184" s="97">
        <v>314420</v>
      </c>
      <c r="J184" s="149">
        <f t="shared" si="13"/>
        <v>314420</v>
      </c>
      <c r="K184" s="79" t="s">
        <v>124</v>
      </c>
      <c r="L184" s="85">
        <f t="shared" si="12"/>
        <v>15721</v>
      </c>
      <c r="M184" s="76" t="s">
        <v>124</v>
      </c>
      <c r="N184" s="76" t="s">
        <v>124</v>
      </c>
      <c r="O184" s="76" t="s">
        <v>124</v>
      </c>
      <c r="P184" s="76" t="s">
        <v>124</v>
      </c>
      <c r="Q184" s="76" t="s">
        <v>124</v>
      </c>
      <c r="R184" s="83"/>
      <c r="S184" s="83"/>
    </row>
    <row r="185" spans="1:19" x14ac:dyDescent="0.25">
      <c r="A185" s="50">
        <v>11</v>
      </c>
      <c r="B185" s="57" t="s">
        <v>486</v>
      </c>
      <c r="C185" s="51" t="s">
        <v>28</v>
      </c>
      <c r="D185" s="95" t="s">
        <v>163</v>
      </c>
      <c r="E185" s="95" t="s">
        <v>164</v>
      </c>
      <c r="F185" s="98"/>
      <c r="G185" s="95" t="s">
        <v>2</v>
      </c>
      <c r="H185" s="96"/>
      <c r="I185" s="97">
        <v>1926220</v>
      </c>
      <c r="J185" s="149">
        <f t="shared" si="13"/>
        <v>1926220</v>
      </c>
      <c r="K185" s="79" t="s">
        <v>124</v>
      </c>
      <c r="L185" s="85">
        <f t="shared" si="12"/>
        <v>96311</v>
      </c>
      <c r="M185" s="76" t="s">
        <v>124</v>
      </c>
      <c r="N185" s="76" t="s">
        <v>124</v>
      </c>
      <c r="O185" s="76" t="s">
        <v>124</v>
      </c>
      <c r="P185" s="76" t="s">
        <v>124</v>
      </c>
      <c r="Q185" s="76" t="s">
        <v>124</v>
      </c>
      <c r="R185" s="83"/>
      <c r="S185" s="83"/>
    </row>
    <row r="186" spans="1:19" x14ac:dyDescent="0.25">
      <c r="A186" s="50">
        <v>12</v>
      </c>
      <c r="B186" s="57" t="s">
        <v>486</v>
      </c>
      <c r="C186" s="51" t="s">
        <v>28</v>
      </c>
      <c r="D186" s="95" t="s">
        <v>165</v>
      </c>
      <c r="E186" s="95" t="s">
        <v>166</v>
      </c>
      <c r="F186" s="98"/>
      <c r="G186" s="95" t="s">
        <v>175</v>
      </c>
      <c r="H186" s="96"/>
      <c r="I186" s="97">
        <v>184220</v>
      </c>
      <c r="J186" s="149">
        <f t="shared" si="13"/>
        <v>184220</v>
      </c>
      <c r="K186" s="79" t="s">
        <v>124</v>
      </c>
      <c r="L186" s="85">
        <f t="shared" si="12"/>
        <v>9211</v>
      </c>
      <c r="M186" s="76" t="s">
        <v>124</v>
      </c>
      <c r="N186" s="76" t="s">
        <v>124</v>
      </c>
      <c r="O186" s="76" t="s">
        <v>124</v>
      </c>
      <c r="P186" s="76" t="s">
        <v>124</v>
      </c>
      <c r="Q186" s="76" t="s">
        <v>124</v>
      </c>
      <c r="R186" s="83"/>
      <c r="S186" s="83"/>
    </row>
    <row r="187" spans="1:19" x14ac:dyDescent="0.25">
      <c r="A187" s="50">
        <v>13</v>
      </c>
      <c r="B187" s="57" t="s">
        <v>486</v>
      </c>
      <c r="C187" s="51" t="s">
        <v>28</v>
      </c>
      <c r="D187" s="95" t="s">
        <v>167</v>
      </c>
      <c r="E187" s="95" t="s">
        <v>168</v>
      </c>
      <c r="F187" s="98"/>
      <c r="G187" s="95" t="s">
        <v>101</v>
      </c>
      <c r="H187" s="96"/>
      <c r="I187" s="97">
        <v>358360</v>
      </c>
      <c r="J187" s="149">
        <f t="shared" si="13"/>
        <v>358360</v>
      </c>
      <c r="K187" s="79" t="s">
        <v>124</v>
      </c>
      <c r="L187" s="85">
        <f t="shared" si="12"/>
        <v>17918</v>
      </c>
      <c r="M187" s="76" t="s">
        <v>124</v>
      </c>
      <c r="N187" s="76" t="s">
        <v>124</v>
      </c>
      <c r="O187" s="76" t="s">
        <v>124</v>
      </c>
      <c r="P187" s="76" t="s">
        <v>124</v>
      </c>
      <c r="Q187" s="76" t="s">
        <v>124</v>
      </c>
      <c r="R187" s="83"/>
      <c r="S187" s="83"/>
    </row>
    <row r="188" spans="1:19" x14ac:dyDescent="0.25">
      <c r="A188" s="50">
        <v>14</v>
      </c>
      <c r="B188" s="57" t="s">
        <v>486</v>
      </c>
      <c r="C188" s="51" t="s">
        <v>28</v>
      </c>
      <c r="D188" s="95" t="s">
        <v>169</v>
      </c>
      <c r="E188" s="95" t="s">
        <v>170</v>
      </c>
      <c r="F188" s="98"/>
      <c r="G188" s="95" t="s">
        <v>101</v>
      </c>
      <c r="H188" s="96"/>
      <c r="I188" s="97">
        <v>9522000</v>
      </c>
      <c r="J188" s="149">
        <f t="shared" si="13"/>
        <v>9522000</v>
      </c>
      <c r="K188" s="79" t="s">
        <v>124</v>
      </c>
      <c r="L188" s="85">
        <f t="shared" si="12"/>
        <v>476100</v>
      </c>
      <c r="M188" s="76" t="s">
        <v>124</v>
      </c>
      <c r="N188" s="76" t="s">
        <v>124</v>
      </c>
      <c r="O188" s="76" t="s">
        <v>124</v>
      </c>
      <c r="P188" s="76" t="s">
        <v>124</v>
      </c>
      <c r="Q188" s="76" t="s">
        <v>124</v>
      </c>
      <c r="R188" s="83"/>
      <c r="S188" s="83"/>
    </row>
    <row r="189" spans="1:19" x14ac:dyDescent="0.25">
      <c r="A189" s="50">
        <v>15</v>
      </c>
      <c r="B189" s="57" t="s">
        <v>486</v>
      </c>
      <c r="C189" s="51" t="s">
        <v>28</v>
      </c>
      <c r="D189" s="95" t="s">
        <v>171</v>
      </c>
      <c r="E189" s="95" t="s">
        <v>172</v>
      </c>
      <c r="F189" s="98"/>
      <c r="G189" s="95" t="s">
        <v>101</v>
      </c>
      <c r="H189" s="96"/>
      <c r="I189" s="97">
        <v>504000</v>
      </c>
      <c r="J189" s="149">
        <f t="shared" si="13"/>
        <v>504000</v>
      </c>
      <c r="K189" s="79" t="s">
        <v>124</v>
      </c>
      <c r="L189" s="85">
        <f t="shared" si="12"/>
        <v>25200</v>
      </c>
      <c r="M189" s="76" t="s">
        <v>124</v>
      </c>
      <c r="N189" s="76" t="s">
        <v>124</v>
      </c>
      <c r="O189" s="76" t="s">
        <v>124</v>
      </c>
      <c r="P189" s="76" t="s">
        <v>124</v>
      </c>
      <c r="Q189" s="76" t="s">
        <v>124</v>
      </c>
      <c r="R189" s="83"/>
      <c r="S189" s="83"/>
    </row>
    <row r="190" spans="1:19" x14ac:dyDescent="0.25">
      <c r="A190" s="50">
        <v>16</v>
      </c>
      <c r="B190" s="57" t="s">
        <v>486</v>
      </c>
      <c r="C190" s="51" t="s">
        <v>28</v>
      </c>
      <c r="D190" s="95" t="s">
        <v>173</v>
      </c>
      <c r="E190" s="95" t="s">
        <v>174</v>
      </c>
      <c r="F190" s="98"/>
      <c r="G190" s="95" t="s">
        <v>101</v>
      </c>
      <c r="H190" s="96"/>
      <c r="I190" s="97">
        <v>400000</v>
      </c>
      <c r="J190" s="149">
        <f t="shared" si="13"/>
        <v>400000</v>
      </c>
      <c r="K190" s="79" t="s">
        <v>124</v>
      </c>
      <c r="L190" s="85">
        <f t="shared" si="12"/>
        <v>20000</v>
      </c>
      <c r="M190" s="76" t="s">
        <v>124</v>
      </c>
      <c r="N190" s="76" t="s">
        <v>124</v>
      </c>
      <c r="O190" s="76" t="s">
        <v>124</v>
      </c>
      <c r="P190" s="76" t="s">
        <v>124</v>
      </c>
      <c r="Q190" s="76" t="s">
        <v>124</v>
      </c>
      <c r="R190" s="83"/>
      <c r="S190" s="83"/>
    </row>
    <row r="191" spans="1:19" s="123" customFormat="1" x14ac:dyDescent="0.2">
      <c r="A191" s="122"/>
      <c r="B191" s="134"/>
      <c r="C191" s="134"/>
      <c r="D191" s="134"/>
      <c r="E191" s="131" t="s">
        <v>193</v>
      </c>
      <c r="F191" s="135"/>
      <c r="G191" s="134"/>
      <c r="H191" s="133">
        <f t="shared" ref="H191:S191" si="14">SUM(H175:H190)</f>
        <v>0</v>
      </c>
      <c r="I191" s="133">
        <f t="shared" si="14"/>
        <v>48775920</v>
      </c>
      <c r="J191" s="133">
        <f t="shared" si="14"/>
        <v>48775920</v>
      </c>
      <c r="K191" s="133">
        <f t="shared" si="14"/>
        <v>0</v>
      </c>
      <c r="L191" s="133">
        <f t="shared" si="14"/>
        <v>2438796</v>
      </c>
      <c r="M191" s="133">
        <f t="shared" si="14"/>
        <v>0</v>
      </c>
      <c r="N191" s="133">
        <f t="shared" si="14"/>
        <v>0</v>
      </c>
      <c r="O191" s="133">
        <f t="shared" si="14"/>
        <v>0</v>
      </c>
      <c r="P191" s="168">
        <f t="shared" si="14"/>
        <v>0</v>
      </c>
      <c r="Q191" s="168">
        <f t="shared" si="14"/>
        <v>0</v>
      </c>
      <c r="R191" s="133">
        <f t="shared" si="14"/>
        <v>0</v>
      </c>
      <c r="S191" s="133">
        <f t="shared" si="14"/>
        <v>0</v>
      </c>
    </row>
    <row r="192" spans="1:19" s="91" customFormat="1" ht="11.25" x14ac:dyDescent="0.2">
      <c r="A192" s="99"/>
      <c r="B192" s="9"/>
      <c r="C192" s="9"/>
      <c r="D192" s="100"/>
      <c r="E192" s="9"/>
      <c r="F192" s="99"/>
      <c r="G192" s="9"/>
      <c r="H192" s="101"/>
      <c r="I192" s="90"/>
      <c r="J192" s="90"/>
      <c r="P192" s="169"/>
      <c r="Q192" s="169"/>
    </row>
    <row r="193" spans="1:19" s="91" customFormat="1" ht="15.75" x14ac:dyDescent="0.2">
      <c r="A193" s="99"/>
      <c r="B193" s="9"/>
      <c r="C193" s="9"/>
      <c r="D193" s="162" t="s">
        <v>471</v>
      </c>
      <c r="E193" s="9"/>
      <c r="F193" s="99"/>
      <c r="G193" s="9"/>
      <c r="I193" s="90"/>
      <c r="J193" s="110"/>
      <c r="P193" s="169"/>
      <c r="Q193" s="169"/>
    </row>
    <row r="194" spans="1:19" s="91" customFormat="1" ht="11.25" x14ac:dyDescent="0.2">
      <c r="A194" s="50">
        <v>1</v>
      </c>
      <c r="B194" s="57" t="s">
        <v>178</v>
      </c>
      <c r="C194" s="66" t="s">
        <v>28</v>
      </c>
      <c r="D194" s="102" t="s">
        <v>176</v>
      </c>
      <c r="E194" s="95" t="s">
        <v>177</v>
      </c>
      <c r="F194" s="103"/>
      <c r="G194" s="102" t="s">
        <v>101</v>
      </c>
      <c r="H194" s="53">
        <v>2706805.6</v>
      </c>
      <c r="I194" s="97">
        <v>73709.009999999995</v>
      </c>
      <c r="J194" s="10">
        <f>+H194+I194</f>
        <v>2780514.61</v>
      </c>
      <c r="K194" s="79" t="s">
        <v>124</v>
      </c>
      <c r="L194" s="85">
        <f>(H194+I194)*5%</f>
        <v>139025.73050000001</v>
      </c>
      <c r="M194" s="76" t="s">
        <v>124</v>
      </c>
      <c r="N194" s="76" t="s">
        <v>124</v>
      </c>
      <c r="O194" s="76" t="s">
        <v>124</v>
      </c>
      <c r="P194" s="76" t="s">
        <v>124</v>
      </c>
      <c r="Q194" s="76" t="s">
        <v>124</v>
      </c>
      <c r="R194" s="83"/>
      <c r="S194" s="83"/>
    </row>
    <row r="195" spans="1:19" ht="13.5" x14ac:dyDescent="0.25">
      <c r="A195" s="132"/>
      <c r="B195" s="130"/>
      <c r="C195" s="130"/>
      <c r="D195" s="130"/>
      <c r="E195" s="131" t="s">
        <v>194</v>
      </c>
      <c r="F195" s="132"/>
      <c r="G195" s="130"/>
      <c r="H195" s="133">
        <f>SUM(H194)</f>
        <v>2706805.6</v>
      </c>
      <c r="I195" s="133">
        <f>SUM(I194)</f>
        <v>73709.009999999995</v>
      </c>
      <c r="J195" s="133"/>
      <c r="K195" s="133">
        <f t="shared" ref="K195:S195" si="15">SUM(K194)</f>
        <v>0</v>
      </c>
      <c r="L195" s="133">
        <f t="shared" si="15"/>
        <v>139025.73050000001</v>
      </c>
      <c r="M195" s="133">
        <f t="shared" si="15"/>
        <v>0</v>
      </c>
      <c r="N195" s="133">
        <f t="shared" si="15"/>
        <v>0</v>
      </c>
      <c r="O195" s="133">
        <f t="shared" si="15"/>
        <v>0</v>
      </c>
      <c r="P195" s="168">
        <f t="shared" si="15"/>
        <v>0</v>
      </c>
      <c r="Q195" s="168">
        <f t="shared" si="15"/>
        <v>0</v>
      </c>
      <c r="R195" s="133">
        <f t="shared" si="15"/>
        <v>0</v>
      </c>
      <c r="S195" s="133">
        <f t="shared" si="15"/>
        <v>0</v>
      </c>
    </row>
    <row r="196" spans="1:19" s="91" customFormat="1" ht="11.25" x14ac:dyDescent="0.2">
      <c r="A196" s="99"/>
      <c r="B196" s="9"/>
      <c r="C196" s="9"/>
      <c r="D196" s="100"/>
      <c r="E196" s="9"/>
      <c r="F196" s="99"/>
      <c r="G196" s="9"/>
      <c r="I196" s="90"/>
      <c r="J196" s="90"/>
      <c r="P196" s="169"/>
      <c r="Q196" s="169"/>
    </row>
    <row r="197" spans="1:19" s="91" customFormat="1" ht="15.75" x14ac:dyDescent="0.2">
      <c r="A197" s="99"/>
      <c r="B197" s="9"/>
      <c r="C197" s="9"/>
      <c r="D197" s="162" t="s">
        <v>472</v>
      </c>
      <c r="E197" s="9"/>
      <c r="F197" s="99"/>
      <c r="G197" s="9"/>
      <c r="I197" s="90"/>
      <c r="J197" s="90"/>
      <c r="P197" s="169"/>
      <c r="Q197" s="169"/>
    </row>
    <row r="198" spans="1:19" s="91" customFormat="1" ht="11.25" x14ac:dyDescent="0.2">
      <c r="A198" s="50">
        <v>1</v>
      </c>
      <c r="B198" s="51" t="s">
        <v>83</v>
      </c>
      <c r="C198" s="51" t="s">
        <v>28</v>
      </c>
      <c r="D198" s="66" t="s">
        <v>184</v>
      </c>
      <c r="E198" s="51" t="s">
        <v>179</v>
      </c>
      <c r="F198" s="50"/>
      <c r="G198" s="66" t="s">
        <v>35</v>
      </c>
      <c r="H198" s="104">
        <v>84000</v>
      </c>
      <c r="I198" s="54">
        <v>100291.92</v>
      </c>
      <c r="J198" s="54">
        <f>+H198+I198</f>
        <v>184291.91999999998</v>
      </c>
      <c r="K198" s="79" t="s">
        <v>124</v>
      </c>
      <c r="L198" s="85">
        <f>(H198+I198)*5%</f>
        <v>9214.5959999999995</v>
      </c>
      <c r="M198" s="79" t="s">
        <v>124</v>
      </c>
      <c r="N198" s="79" t="s">
        <v>124</v>
      </c>
      <c r="O198" s="79" t="s">
        <v>124</v>
      </c>
      <c r="P198" s="79" t="s">
        <v>124</v>
      </c>
      <c r="Q198" s="79" t="s">
        <v>124</v>
      </c>
      <c r="R198" s="83"/>
      <c r="S198" s="83"/>
    </row>
    <row r="199" spans="1:19" s="91" customFormat="1" ht="11.25" x14ac:dyDescent="0.2">
      <c r="A199" s="50">
        <v>2</v>
      </c>
      <c r="B199" s="51" t="s">
        <v>83</v>
      </c>
      <c r="C199" s="51" t="s">
        <v>28</v>
      </c>
      <c r="D199" s="66" t="s">
        <v>185</v>
      </c>
      <c r="E199" s="51" t="s">
        <v>180</v>
      </c>
      <c r="F199" s="50"/>
      <c r="G199" s="66" t="s">
        <v>49</v>
      </c>
      <c r="H199" s="104">
        <v>368323.2</v>
      </c>
      <c r="I199" s="54">
        <v>208881.49</v>
      </c>
      <c r="J199" s="54">
        <f>+H199+I199</f>
        <v>577204.68999999994</v>
      </c>
      <c r="K199" s="79" t="s">
        <v>124</v>
      </c>
      <c r="L199" s="85">
        <f>(H199+I199)*5%</f>
        <v>28860.234499999999</v>
      </c>
      <c r="M199" s="79" t="s">
        <v>124</v>
      </c>
      <c r="N199" s="79" t="s">
        <v>124</v>
      </c>
      <c r="O199" s="79" t="s">
        <v>124</v>
      </c>
      <c r="P199" s="79" t="s">
        <v>124</v>
      </c>
      <c r="Q199" s="79" t="s">
        <v>124</v>
      </c>
      <c r="R199" s="83"/>
      <c r="S199" s="83"/>
    </row>
    <row r="200" spans="1:19" s="91" customFormat="1" ht="11.25" x14ac:dyDescent="0.2">
      <c r="A200" s="50">
        <v>3</v>
      </c>
      <c r="B200" s="51" t="s">
        <v>83</v>
      </c>
      <c r="C200" s="51" t="s">
        <v>28</v>
      </c>
      <c r="D200" s="66" t="s">
        <v>186</v>
      </c>
      <c r="E200" s="51" t="s">
        <v>181</v>
      </c>
      <c r="F200" s="50"/>
      <c r="G200" s="51" t="s">
        <v>189</v>
      </c>
      <c r="H200" s="104">
        <v>805888.9</v>
      </c>
      <c r="I200" s="54">
        <v>225920.27</v>
      </c>
      <c r="J200" s="54">
        <f>+H200+I200</f>
        <v>1031809.17</v>
      </c>
      <c r="K200" s="79" t="s">
        <v>124</v>
      </c>
      <c r="L200" s="85">
        <f>(H200+I200)*5%</f>
        <v>51590.458500000008</v>
      </c>
      <c r="M200" s="79" t="s">
        <v>124</v>
      </c>
      <c r="N200" s="79" t="s">
        <v>124</v>
      </c>
      <c r="O200" s="79" t="s">
        <v>124</v>
      </c>
      <c r="P200" s="79" t="s">
        <v>124</v>
      </c>
      <c r="Q200" s="79" t="s">
        <v>124</v>
      </c>
      <c r="R200" s="83"/>
      <c r="S200" s="83"/>
    </row>
    <row r="201" spans="1:19" s="91" customFormat="1" ht="11.25" x14ac:dyDescent="0.2">
      <c r="A201" s="50">
        <v>4</v>
      </c>
      <c r="B201" s="51" t="s">
        <v>83</v>
      </c>
      <c r="C201" s="51" t="s">
        <v>28</v>
      </c>
      <c r="D201" s="66" t="s">
        <v>187</v>
      </c>
      <c r="E201" s="51" t="s">
        <v>182</v>
      </c>
      <c r="F201" s="50"/>
      <c r="G201" s="66" t="s">
        <v>101</v>
      </c>
      <c r="H201" s="104">
        <v>7642425.7000000002</v>
      </c>
      <c r="I201" s="54">
        <v>1142464.0900000001</v>
      </c>
      <c r="J201" s="54">
        <f>+H201+I201</f>
        <v>8784889.790000001</v>
      </c>
      <c r="K201" s="79" t="s">
        <v>124</v>
      </c>
      <c r="L201" s="85">
        <f>(H201+I201)*5%</f>
        <v>439244.48950000008</v>
      </c>
      <c r="M201" s="79" t="s">
        <v>124</v>
      </c>
      <c r="N201" s="79" t="s">
        <v>124</v>
      </c>
      <c r="O201" s="79" t="s">
        <v>124</v>
      </c>
      <c r="P201" s="79" t="s">
        <v>124</v>
      </c>
      <c r="Q201" s="79" t="s">
        <v>124</v>
      </c>
      <c r="R201" s="83"/>
      <c r="S201" s="83"/>
    </row>
    <row r="202" spans="1:19" s="91" customFormat="1" ht="11.25" x14ac:dyDescent="0.2">
      <c r="A202" s="50">
        <v>5</v>
      </c>
      <c r="B202" s="51" t="s">
        <v>83</v>
      </c>
      <c r="C202" s="51" t="s">
        <v>28</v>
      </c>
      <c r="D202" s="66" t="s">
        <v>188</v>
      </c>
      <c r="E202" s="51" t="s">
        <v>183</v>
      </c>
      <c r="F202" s="50"/>
      <c r="G202" s="66" t="s">
        <v>190</v>
      </c>
      <c r="H202" s="104">
        <v>100013</v>
      </c>
      <c r="I202" s="54">
        <v>256714.62</v>
      </c>
      <c r="J202" s="54">
        <f>+H202+I202</f>
        <v>356727.62</v>
      </c>
      <c r="K202" s="79" t="s">
        <v>124</v>
      </c>
      <c r="L202" s="85">
        <f>(H202+I202)*5%</f>
        <v>17836.381000000001</v>
      </c>
      <c r="M202" s="79" t="s">
        <v>124</v>
      </c>
      <c r="N202" s="79" t="s">
        <v>124</v>
      </c>
      <c r="O202" s="79" t="s">
        <v>124</v>
      </c>
      <c r="P202" s="79" t="s">
        <v>124</v>
      </c>
      <c r="Q202" s="79" t="s">
        <v>124</v>
      </c>
      <c r="R202" s="83"/>
      <c r="S202" s="83"/>
    </row>
    <row r="203" spans="1:19" ht="13.5" x14ac:dyDescent="0.25">
      <c r="A203" s="93"/>
      <c r="B203" s="130"/>
      <c r="C203" s="130"/>
      <c r="D203" s="130"/>
      <c r="E203" s="131" t="s">
        <v>195</v>
      </c>
      <c r="F203" s="132"/>
      <c r="G203" s="130"/>
      <c r="H203" s="133">
        <f>SUM(H198:H202)</f>
        <v>9000650.8000000007</v>
      </c>
      <c r="I203" s="133">
        <f t="shared" ref="I203:S203" si="16">SUM(I198:I202)</f>
        <v>1934272.3900000001</v>
      </c>
      <c r="J203" s="133">
        <f>SUM(J198:J202)</f>
        <v>10934923.189999999</v>
      </c>
      <c r="K203" s="133">
        <f t="shared" si="16"/>
        <v>0</v>
      </c>
      <c r="L203" s="133">
        <f t="shared" si="16"/>
        <v>546746.15950000018</v>
      </c>
      <c r="M203" s="133">
        <f t="shared" si="16"/>
        <v>0</v>
      </c>
      <c r="N203" s="133">
        <f t="shared" si="16"/>
        <v>0</v>
      </c>
      <c r="O203" s="133">
        <f t="shared" si="16"/>
        <v>0</v>
      </c>
      <c r="P203" s="168">
        <f t="shared" si="16"/>
        <v>0</v>
      </c>
      <c r="Q203" s="168">
        <f t="shared" si="16"/>
        <v>0</v>
      </c>
      <c r="R203" s="133">
        <f t="shared" si="16"/>
        <v>0</v>
      </c>
      <c r="S203" s="133">
        <f t="shared" si="16"/>
        <v>0</v>
      </c>
    </row>
    <row r="204" spans="1:19" s="91" customFormat="1" ht="11.25" x14ac:dyDescent="0.2">
      <c r="A204" s="99"/>
      <c r="B204" s="9"/>
      <c r="C204" s="9"/>
      <c r="D204" s="100"/>
      <c r="E204" s="9"/>
      <c r="F204" s="99"/>
      <c r="G204" s="9"/>
      <c r="I204" s="90"/>
      <c r="J204" s="90"/>
      <c r="P204" s="169"/>
      <c r="Q204" s="169"/>
    </row>
    <row r="205" spans="1:19" s="91" customFormat="1" ht="11.25" x14ac:dyDescent="0.2">
      <c r="A205" s="99"/>
      <c r="B205" s="9"/>
      <c r="C205" s="9"/>
      <c r="D205" s="100"/>
      <c r="E205" s="9"/>
      <c r="F205" s="99"/>
      <c r="G205" s="9"/>
      <c r="I205" s="90"/>
      <c r="J205" s="90"/>
      <c r="P205" s="169"/>
      <c r="Q205" s="169"/>
    </row>
    <row r="206" spans="1:19" s="124" customFormat="1" ht="20.25" customHeight="1" thickBot="1" x14ac:dyDescent="0.3">
      <c r="A206" s="125"/>
      <c r="B206" s="126"/>
      <c r="C206" s="126"/>
      <c r="D206" s="127"/>
      <c r="E206" s="128" t="s">
        <v>142</v>
      </c>
      <c r="F206" s="125"/>
      <c r="G206" s="126"/>
      <c r="H206" s="129">
        <f t="shared" ref="H206:S206" si="17">SUM(H40,H163,H172,H191,H195,H203)</f>
        <v>1790380800.2059288</v>
      </c>
      <c r="I206" s="129">
        <f t="shared" si="17"/>
        <v>741166757.85086501</v>
      </c>
      <c r="J206" s="129">
        <f t="shared" si="17"/>
        <v>2528767043.4467931</v>
      </c>
      <c r="K206" s="129">
        <f t="shared" si="17"/>
        <v>20000000</v>
      </c>
      <c r="L206" s="129">
        <f t="shared" si="17"/>
        <v>126577377.90283968</v>
      </c>
      <c r="M206" s="129">
        <f t="shared" si="17"/>
        <v>50000000</v>
      </c>
      <c r="N206" s="129">
        <f t="shared" si="17"/>
        <v>20000000</v>
      </c>
      <c r="O206" s="129">
        <f t="shared" si="17"/>
        <v>1500000</v>
      </c>
      <c r="P206" s="170">
        <f t="shared" si="17"/>
        <v>500000</v>
      </c>
      <c r="Q206" s="170">
        <f t="shared" si="17"/>
        <v>500000</v>
      </c>
      <c r="R206" s="129">
        <f t="shared" si="17"/>
        <v>115344490.25999999</v>
      </c>
      <c r="S206" s="129">
        <f t="shared" si="17"/>
        <v>7839846</v>
      </c>
    </row>
    <row r="207" spans="1:19" s="91" customFormat="1" ht="11.25" x14ac:dyDescent="0.2">
      <c r="A207" s="99"/>
      <c r="B207" s="9"/>
      <c r="C207" s="9"/>
      <c r="D207" s="100"/>
      <c r="E207" s="9"/>
      <c r="F207" s="99"/>
      <c r="G207" s="9"/>
      <c r="I207" s="90"/>
      <c r="J207" s="90"/>
      <c r="M207" s="171" t="s">
        <v>487</v>
      </c>
      <c r="N207" s="171" t="s">
        <v>487</v>
      </c>
      <c r="O207" s="171" t="s">
        <v>487</v>
      </c>
      <c r="P207" s="171" t="s">
        <v>487</v>
      </c>
      <c r="Q207" s="171" t="s">
        <v>487</v>
      </c>
      <c r="R207" s="171" t="s">
        <v>487</v>
      </c>
      <c r="S207" s="171" t="s">
        <v>487</v>
      </c>
    </row>
    <row r="208" spans="1:19" x14ac:dyDescent="0.25">
      <c r="H208" s="150" t="s">
        <v>474</v>
      </c>
      <c r="I208" s="150" t="s">
        <v>475</v>
      </c>
      <c r="J208" s="150" t="s">
        <v>476</v>
      </c>
      <c r="K208" s="151" t="s">
        <v>477</v>
      </c>
      <c r="L208" s="151" t="s">
        <v>478</v>
      </c>
      <c r="M208" s="152" t="s">
        <v>479</v>
      </c>
      <c r="N208" s="152" t="s">
        <v>480</v>
      </c>
      <c r="O208" s="152" t="s">
        <v>481</v>
      </c>
      <c r="P208" s="152" t="s">
        <v>482</v>
      </c>
      <c r="Q208" s="152" t="s">
        <v>483</v>
      </c>
      <c r="R208" s="152" t="s">
        <v>484</v>
      </c>
      <c r="S208" s="152" t="s">
        <v>485</v>
      </c>
    </row>
    <row r="209" spans="10:17" x14ac:dyDescent="0.25">
      <c r="P209" s="152"/>
      <c r="Q209" s="152"/>
    </row>
    <row r="210" spans="10:17" x14ac:dyDescent="0.25">
      <c r="J210" s="45">
        <f>+J206*5%</f>
        <v>126438352.17233966</v>
      </c>
    </row>
  </sheetData>
  <mergeCells count="1">
    <mergeCell ref="B3:C3"/>
  </mergeCells>
  <conditionalFormatting sqref="H43:S162">
    <cfRule type="cellIs" dxfId="3" priority="3" operator="equal">
      <formula>0</formula>
    </cfRule>
    <cfRule type="cellIs" dxfId="2" priority="4" operator="equal">
      <formula>4300905</formula>
    </cfRule>
  </conditionalFormatting>
  <conditionalFormatting sqref="H175:H190 R4:S39 N5:N39">
    <cfRule type="cellIs" dxfId="1" priority="2" operator="equal">
      <formula>0</formula>
    </cfRule>
  </conditionalFormatting>
  <conditionalFormatting sqref="H194:S194 H166:S171 I175:S190 H198:S202">
    <cfRule type="cellIs" dxfId="0" priority="1" operator="equal">
      <formula>0</formula>
    </cfRule>
  </conditionalFormatting>
  <printOptions horizontalCentered="1"/>
  <pageMargins left="3.937007874015748E-2" right="3.937007874015748E-2" top="0.15748031496062992" bottom="0.15748031496062992" header="0.31496062992125984" footer="0.31496062992125984"/>
  <pageSetup paperSize="119" scale="75" orientation="landscape" r:id="rId1"/>
  <customProperties>
    <customPr name="LastActive" r:id="rId2"/>
  </customPropertie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theme="5" tint="-0.249977111117893"/>
  </sheetPr>
  <dimension ref="A1:U41"/>
  <sheetViews>
    <sheetView showGridLines="0" workbookViewId="0">
      <selection activeCell="A39" sqref="A39"/>
    </sheetView>
  </sheetViews>
  <sheetFormatPr baseColWidth="10" defaultColWidth="11.42578125" defaultRowHeight="15" x14ac:dyDescent="0.25"/>
  <cols>
    <col min="1" max="1" width="3.28515625" bestFit="1" customWidth="1"/>
    <col min="2" max="2" width="6.85546875" bestFit="1" customWidth="1"/>
    <col min="3" max="3" width="15.5703125" bestFit="1" customWidth="1"/>
    <col min="4" max="4" width="16.140625" bestFit="1" customWidth="1"/>
    <col min="5" max="5" width="55.140625" customWidth="1"/>
    <col min="6" max="6" width="36.5703125" customWidth="1"/>
    <col min="8" max="8" width="14.42578125" bestFit="1" customWidth="1"/>
    <col min="9" max="9" width="11" bestFit="1" customWidth="1"/>
    <col min="10" max="10" width="12.140625" bestFit="1" customWidth="1"/>
    <col min="11" max="11" width="11" bestFit="1" customWidth="1"/>
  </cols>
  <sheetData>
    <row r="1" spans="1:21" s="1" customFormat="1" ht="67.5" x14ac:dyDescent="0.25">
      <c r="A1" s="6" t="s">
        <v>198</v>
      </c>
      <c r="B1" s="6" t="s">
        <v>36</v>
      </c>
      <c r="C1" s="6" t="s">
        <v>53</v>
      </c>
      <c r="D1" s="40"/>
      <c r="E1" s="6" t="s">
        <v>37</v>
      </c>
      <c r="F1" s="6" t="s">
        <v>38</v>
      </c>
      <c r="G1" s="6" t="s">
        <v>95</v>
      </c>
      <c r="H1" s="6" t="s">
        <v>39</v>
      </c>
      <c r="I1" s="40"/>
      <c r="J1" s="40"/>
      <c r="K1" s="7" t="s">
        <v>139</v>
      </c>
      <c r="L1" s="8" t="s">
        <v>114</v>
      </c>
      <c r="M1" s="4" t="s">
        <v>115</v>
      </c>
      <c r="N1" s="4" t="s">
        <v>116</v>
      </c>
      <c r="O1" s="5" t="s">
        <v>117</v>
      </c>
      <c r="P1" s="5" t="s">
        <v>118</v>
      </c>
      <c r="Q1" s="5" t="s">
        <v>119</v>
      </c>
      <c r="R1" s="5" t="s">
        <v>120</v>
      </c>
      <c r="S1" s="5" t="s">
        <v>121</v>
      </c>
      <c r="T1" s="5" t="s">
        <v>122</v>
      </c>
      <c r="U1" s="5" t="s">
        <v>123</v>
      </c>
    </row>
    <row r="2" spans="1:21" ht="38.25" x14ac:dyDescent="0.25">
      <c r="A2" s="11" t="s">
        <v>199</v>
      </c>
      <c r="B2" s="11" t="s">
        <v>36</v>
      </c>
      <c r="C2" s="11" t="s">
        <v>53</v>
      </c>
      <c r="D2" s="11"/>
      <c r="E2" s="11" t="s">
        <v>37</v>
      </c>
      <c r="F2" s="11" t="s">
        <v>38</v>
      </c>
      <c r="G2" s="11" t="s">
        <v>95</v>
      </c>
      <c r="H2" s="11" t="s">
        <v>39</v>
      </c>
      <c r="I2" s="11" t="s">
        <v>200</v>
      </c>
      <c r="J2" s="12" t="s">
        <v>201</v>
      </c>
      <c r="K2" s="12" t="s">
        <v>202</v>
      </c>
    </row>
    <row r="3" spans="1:21" x14ac:dyDescent="0.25">
      <c r="A3" s="13"/>
      <c r="B3" s="13">
        <v>3.1</v>
      </c>
      <c r="C3" s="13"/>
      <c r="D3" s="13"/>
      <c r="E3" s="14" t="s">
        <v>85</v>
      </c>
      <c r="F3" s="13"/>
      <c r="G3" s="13"/>
      <c r="H3" s="13"/>
      <c r="I3" s="13"/>
      <c r="J3" s="15"/>
      <c r="K3" s="15"/>
    </row>
    <row r="4" spans="1:21" x14ac:dyDescent="0.25">
      <c r="A4" s="16">
        <v>1</v>
      </c>
      <c r="B4" s="16" t="s">
        <v>55</v>
      </c>
      <c r="C4" s="16" t="s">
        <v>31</v>
      </c>
      <c r="D4" s="16" t="s">
        <v>203</v>
      </c>
      <c r="E4" s="17" t="s">
        <v>8</v>
      </c>
      <c r="F4" s="16" t="s">
        <v>70</v>
      </c>
      <c r="G4" s="18">
        <v>80140</v>
      </c>
      <c r="H4" s="16" t="s">
        <v>40</v>
      </c>
      <c r="I4" s="19">
        <v>1608.7</v>
      </c>
      <c r="J4" s="20">
        <v>7673499</v>
      </c>
      <c r="K4" s="20">
        <f>J4*1.04</f>
        <v>7980438.96</v>
      </c>
    </row>
    <row r="5" spans="1:21" x14ac:dyDescent="0.25">
      <c r="A5" s="16">
        <v>2</v>
      </c>
      <c r="B5" s="16" t="s">
        <v>55</v>
      </c>
      <c r="C5" s="16" t="s">
        <v>31</v>
      </c>
      <c r="D5" s="16" t="s">
        <v>204</v>
      </c>
      <c r="E5" s="17" t="s">
        <v>9</v>
      </c>
      <c r="F5" s="16" t="s">
        <v>71</v>
      </c>
      <c r="G5" s="18">
        <v>80363</v>
      </c>
      <c r="H5" s="16" t="s">
        <v>52</v>
      </c>
      <c r="I5" s="19">
        <v>760</v>
      </c>
      <c r="J5" s="20">
        <v>4070298.8564059003</v>
      </c>
      <c r="K5" s="20">
        <f t="shared" ref="K5:K39" si="0">J5*1.04</f>
        <v>4233110.8106621364</v>
      </c>
    </row>
    <row r="6" spans="1:21" x14ac:dyDescent="0.25">
      <c r="A6" s="16">
        <v>3</v>
      </c>
      <c r="B6" s="21" t="s">
        <v>55</v>
      </c>
      <c r="C6" s="21" t="s">
        <v>31</v>
      </c>
      <c r="D6" s="2" t="s">
        <v>205</v>
      </c>
      <c r="E6" s="22" t="s">
        <v>105</v>
      </c>
      <c r="F6" s="22" t="s">
        <v>106</v>
      </c>
      <c r="G6" s="23">
        <v>80054</v>
      </c>
      <c r="H6" s="21" t="s">
        <v>40</v>
      </c>
      <c r="I6" s="24">
        <v>12733.48</v>
      </c>
      <c r="J6" s="20">
        <v>80984932.799999997</v>
      </c>
      <c r="K6" s="20">
        <f t="shared" si="0"/>
        <v>84224330.112000003</v>
      </c>
    </row>
    <row r="7" spans="1:21" x14ac:dyDescent="0.25">
      <c r="A7" s="16">
        <v>4</v>
      </c>
      <c r="B7" s="25" t="s">
        <v>55</v>
      </c>
      <c r="C7" s="25" t="s">
        <v>31</v>
      </c>
      <c r="D7" s="16" t="s">
        <v>206</v>
      </c>
      <c r="E7" s="26" t="s">
        <v>6</v>
      </c>
      <c r="F7" s="25" t="s">
        <v>65</v>
      </c>
      <c r="G7" s="27">
        <v>80129</v>
      </c>
      <c r="H7" s="25" t="s">
        <v>40</v>
      </c>
      <c r="I7" s="19">
        <v>1921.32</v>
      </c>
      <c r="J7" s="20">
        <v>9164696.4000000004</v>
      </c>
      <c r="K7" s="20">
        <f t="shared" si="0"/>
        <v>9531284.256000001</v>
      </c>
    </row>
    <row r="8" spans="1:21" x14ac:dyDescent="0.25">
      <c r="A8" s="16">
        <v>5</v>
      </c>
      <c r="B8" s="21" t="s">
        <v>55</v>
      </c>
      <c r="C8" s="21" t="s">
        <v>32</v>
      </c>
      <c r="D8" s="21" t="s">
        <v>207</v>
      </c>
      <c r="E8" s="22" t="s">
        <v>54</v>
      </c>
      <c r="F8" s="21" t="s">
        <v>63</v>
      </c>
      <c r="G8" s="23">
        <v>80130</v>
      </c>
      <c r="H8" s="21" t="s">
        <v>40</v>
      </c>
      <c r="I8" s="24">
        <v>11809.82</v>
      </c>
      <c r="J8" s="28">
        <v>75110455.200000003</v>
      </c>
      <c r="K8" s="20">
        <f t="shared" si="0"/>
        <v>78114873.408000007</v>
      </c>
    </row>
    <row r="9" spans="1:21" x14ac:dyDescent="0.25">
      <c r="A9" s="16">
        <v>6</v>
      </c>
      <c r="B9" s="16" t="s">
        <v>55</v>
      </c>
      <c r="C9" s="16" t="s">
        <v>32</v>
      </c>
      <c r="D9" s="16" t="s">
        <v>208</v>
      </c>
      <c r="E9" s="29" t="s">
        <v>30</v>
      </c>
      <c r="F9" s="16" t="s">
        <v>66</v>
      </c>
      <c r="G9" s="18">
        <v>80000</v>
      </c>
      <c r="H9" s="16" t="s">
        <v>40</v>
      </c>
      <c r="I9" s="19">
        <v>995.46</v>
      </c>
      <c r="J9" s="20">
        <v>4748344.2</v>
      </c>
      <c r="K9" s="20">
        <f t="shared" si="0"/>
        <v>4938277.9680000003</v>
      </c>
    </row>
    <row r="10" spans="1:21" ht="38.25" x14ac:dyDescent="0.25">
      <c r="A10" s="16">
        <v>7</v>
      </c>
      <c r="B10" s="21" t="s">
        <v>55</v>
      </c>
      <c r="C10" s="21" t="s">
        <v>32</v>
      </c>
      <c r="D10" s="16" t="s">
        <v>207</v>
      </c>
      <c r="E10" s="22" t="s">
        <v>209</v>
      </c>
      <c r="F10" s="22" t="s">
        <v>64</v>
      </c>
      <c r="G10" s="30">
        <v>80130</v>
      </c>
      <c r="H10" s="22" t="s">
        <v>40</v>
      </c>
      <c r="I10" s="19">
        <v>4400</v>
      </c>
      <c r="J10" s="28">
        <v>22096946.314080004</v>
      </c>
      <c r="K10" s="20">
        <f t="shared" si="0"/>
        <v>22980824.166643206</v>
      </c>
    </row>
    <row r="11" spans="1:21" x14ac:dyDescent="0.25">
      <c r="A11" s="16">
        <v>8</v>
      </c>
      <c r="B11" s="16" t="s">
        <v>55</v>
      </c>
      <c r="C11" s="16" t="s">
        <v>32</v>
      </c>
      <c r="D11" s="16" t="s">
        <v>210</v>
      </c>
      <c r="E11" s="17" t="s">
        <v>86</v>
      </c>
      <c r="F11" s="31" t="s">
        <v>69</v>
      </c>
      <c r="G11" s="32">
        <v>80308</v>
      </c>
      <c r="H11" s="31" t="s">
        <v>40</v>
      </c>
      <c r="I11" s="19">
        <v>22829</v>
      </c>
      <c r="J11" s="20">
        <v>108894330</v>
      </c>
      <c r="K11" s="20">
        <f t="shared" si="0"/>
        <v>113250103.2</v>
      </c>
    </row>
    <row r="12" spans="1:21" x14ac:dyDescent="0.25">
      <c r="A12" s="16">
        <v>9</v>
      </c>
      <c r="B12" s="16" t="s">
        <v>55</v>
      </c>
      <c r="C12" s="16" t="s">
        <v>32</v>
      </c>
      <c r="D12" s="16" t="s">
        <v>211</v>
      </c>
      <c r="E12" s="17" t="s">
        <v>87</v>
      </c>
      <c r="F12" s="31"/>
      <c r="G12" s="32">
        <v>82089</v>
      </c>
      <c r="H12" s="31" t="s">
        <v>41</v>
      </c>
      <c r="I12" s="19">
        <v>22829</v>
      </c>
      <c r="J12" s="20">
        <v>108894330</v>
      </c>
      <c r="K12" s="20">
        <f t="shared" si="0"/>
        <v>113250103.2</v>
      </c>
    </row>
    <row r="13" spans="1:21" x14ac:dyDescent="0.25">
      <c r="A13" s="16">
        <v>10</v>
      </c>
      <c r="B13" s="16" t="s">
        <v>55</v>
      </c>
      <c r="C13" s="16" t="s">
        <v>32</v>
      </c>
      <c r="D13" s="16" t="s">
        <v>212</v>
      </c>
      <c r="E13" s="17" t="s">
        <v>90</v>
      </c>
      <c r="F13" s="31"/>
      <c r="G13" s="32">
        <v>81306</v>
      </c>
      <c r="H13" s="31" t="s">
        <v>34</v>
      </c>
      <c r="I13" s="19">
        <v>22829</v>
      </c>
      <c r="J13" s="20">
        <v>108894330</v>
      </c>
      <c r="K13" s="20">
        <f t="shared" si="0"/>
        <v>113250103.2</v>
      </c>
    </row>
    <row r="14" spans="1:21" x14ac:dyDescent="0.25">
      <c r="A14" s="16">
        <v>11</v>
      </c>
      <c r="B14" s="16" t="s">
        <v>55</v>
      </c>
      <c r="C14" s="16" t="s">
        <v>32</v>
      </c>
      <c r="D14" s="16"/>
      <c r="E14" s="17" t="s">
        <v>94</v>
      </c>
      <c r="F14" s="31"/>
      <c r="G14" s="18">
        <v>81664</v>
      </c>
      <c r="H14" s="31" t="s">
        <v>35</v>
      </c>
      <c r="I14" s="19">
        <v>22829</v>
      </c>
      <c r="J14" s="20">
        <v>108894330</v>
      </c>
      <c r="K14" s="20">
        <f t="shared" si="0"/>
        <v>113250103.2</v>
      </c>
    </row>
    <row r="15" spans="1:21" x14ac:dyDescent="0.25">
      <c r="A15" s="16">
        <v>12</v>
      </c>
      <c r="B15" s="16" t="s">
        <v>55</v>
      </c>
      <c r="C15" s="16" t="s">
        <v>32</v>
      </c>
      <c r="D15" s="16"/>
      <c r="E15" s="17" t="s">
        <v>91</v>
      </c>
      <c r="F15" s="31" t="s">
        <v>69</v>
      </c>
      <c r="G15" s="32">
        <v>80130</v>
      </c>
      <c r="H15" s="31" t="s">
        <v>5</v>
      </c>
      <c r="I15" s="19">
        <v>2110.27</v>
      </c>
      <c r="J15" s="20">
        <v>11184431</v>
      </c>
      <c r="K15" s="20">
        <f t="shared" si="0"/>
        <v>11631808.24</v>
      </c>
    </row>
    <row r="16" spans="1:21" x14ac:dyDescent="0.25">
      <c r="A16" s="16">
        <v>13</v>
      </c>
      <c r="B16" s="16" t="s">
        <v>55</v>
      </c>
      <c r="C16" s="16" t="s">
        <v>33</v>
      </c>
      <c r="D16" s="16" t="s">
        <v>213</v>
      </c>
      <c r="E16" s="17" t="s">
        <v>18</v>
      </c>
      <c r="F16" s="31" t="s">
        <v>80</v>
      </c>
      <c r="G16" s="32">
        <v>81600</v>
      </c>
      <c r="H16" s="31" t="s">
        <v>35</v>
      </c>
      <c r="I16" s="19">
        <v>1328</v>
      </c>
      <c r="J16" s="20">
        <v>5772020.80688</v>
      </c>
      <c r="K16" s="20">
        <f t="shared" si="0"/>
        <v>6002901.6391552007</v>
      </c>
    </row>
    <row r="17" spans="1:11" x14ac:dyDescent="0.25">
      <c r="A17" s="16">
        <v>14</v>
      </c>
      <c r="B17" s="16" t="s">
        <v>55</v>
      </c>
      <c r="C17" s="16" t="s">
        <v>33</v>
      </c>
      <c r="D17" s="16" t="s">
        <v>214</v>
      </c>
      <c r="E17" s="17" t="s">
        <v>7</v>
      </c>
      <c r="F17" s="31" t="s">
        <v>68</v>
      </c>
      <c r="G17" s="32">
        <v>80450</v>
      </c>
      <c r="H17" s="31" t="s">
        <v>42</v>
      </c>
      <c r="I17" s="19">
        <v>192.05</v>
      </c>
      <c r="J17" s="20">
        <v>1017865</v>
      </c>
      <c r="K17" s="20">
        <f t="shared" si="0"/>
        <v>1058579.6000000001</v>
      </c>
    </row>
    <row r="18" spans="1:11" x14ac:dyDescent="0.25">
      <c r="A18" s="16">
        <v>15</v>
      </c>
      <c r="B18" s="16" t="s">
        <v>55</v>
      </c>
      <c r="C18" s="16" t="s">
        <v>33</v>
      </c>
      <c r="D18" s="16" t="s">
        <v>215</v>
      </c>
      <c r="E18" s="17" t="s">
        <v>13</v>
      </c>
      <c r="F18" s="31" t="s">
        <v>82</v>
      </c>
      <c r="G18" s="32">
        <v>82700</v>
      </c>
      <c r="H18" s="31" t="s">
        <v>43</v>
      </c>
      <c r="I18" s="19">
        <v>937.25</v>
      </c>
      <c r="J18" s="20">
        <v>4967425</v>
      </c>
      <c r="K18" s="20">
        <f t="shared" si="0"/>
        <v>5166122</v>
      </c>
    </row>
    <row r="19" spans="1:11" x14ac:dyDescent="0.25">
      <c r="A19" s="16">
        <v>16</v>
      </c>
      <c r="B19" s="16" t="s">
        <v>55</v>
      </c>
      <c r="C19" s="16" t="s">
        <v>33</v>
      </c>
      <c r="D19" s="16" t="s">
        <v>216</v>
      </c>
      <c r="E19" s="17" t="s">
        <v>27</v>
      </c>
      <c r="F19" s="31" t="s">
        <v>81</v>
      </c>
      <c r="G19" s="32">
        <v>80500</v>
      </c>
      <c r="H19" s="31" t="s">
        <v>12</v>
      </c>
      <c r="I19" s="19">
        <v>658.53</v>
      </c>
      <c r="J19" s="20">
        <v>3490209</v>
      </c>
      <c r="K19" s="20">
        <f t="shared" si="0"/>
        <v>3629817.3600000003</v>
      </c>
    </row>
    <row r="20" spans="1:11" x14ac:dyDescent="0.25">
      <c r="A20" s="16">
        <v>17</v>
      </c>
      <c r="B20" s="16" t="s">
        <v>55</v>
      </c>
      <c r="C20" s="16" t="s">
        <v>33</v>
      </c>
      <c r="D20" s="16" t="s">
        <v>217</v>
      </c>
      <c r="E20" s="17" t="s">
        <v>23</v>
      </c>
      <c r="F20" s="31" t="s">
        <v>57</v>
      </c>
      <c r="G20" s="32">
        <v>81700</v>
      </c>
      <c r="H20" s="31" t="s">
        <v>44</v>
      </c>
      <c r="I20" s="33">
        <v>650</v>
      </c>
      <c r="J20" s="20">
        <v>3100500</v>
      </c>
      <c r="K20" s="20">
        <f t="shared" si="0"/>
        <v>3224520</v>
      </c>
    </row>
    <row r="21" spans="1:11" x14ac:dyDescent="0.25">
      <c r="A21" s="16">
        <v>18</v>
      </c>
      <c r="B21" s="16" t="s">
        <v>55</v>
      </c>
      <c r="C21" s="16" t="s">
        <v>33</v>
      </c>
      <c r="D21" s="16" t="s">
        <v>218</v>
      </c>
      <c r="E21" s="17" t="s">
        <v>21</v>
      </c>
      <c r="F21" s="31" t="s">
        <v>76</v>
      </c>
      <c r="G21" s="32">
        <v>82600</v>
      </c>
      <c r="H21" s="31" t="s">
        <v>45</v>
      </c>
      <c r="I21" s="33">
        <v>704.6</v>
      </c>
      <c r="J21" s="20">
        <v>3360942</v>
      </c>
      <c r="K21" s="20">
        <f t="shared" si="0"/>
        <v>3495379.68</v>
      </c>
    </row>
    <row r="22" spans="1:11" x14ac:dyDescent="0.25">
      <c r="A22" s="16">
        <v>19</v>
      </c>
      <c r="B22" s="16" t="s">
        <v>55</v>
      </c>
      <c r="C22" s="16" t="s">
        <v>33</v>
      </c>
      <c r="D22" s="16" t="s">
        <v>219</v>
      </c>
      <c r="E22" s="17" t="s">
        <v>14</v>
      </c>
      <c r="F22" s="31" t="s">
        <v>72</v>
      </c>
      <c r="G22" s="32">
        <v>80700</v>
      </c>
      <c r="H22" s="31" t="s">
        <v>46</v>
      </c>
      <c r="I22" s="33">
        <v>2307.9699999999998</v>
      </c>
      <c r="J22" s="20">
        <v>9256862.9626439996</v>
      </c>
      <c r="K22" s="20">
        <f t="shared" si="0"/>
        <v>9627137.4811497591</v>
      </c>
    </row>
    <row r="23" spans="1:11" x14ac:dyDescent="0.25">
      <c r="A23" s="16">
        <v>20</v>
      </c>
      <c r="B23" s="16" t="s">
        <v>55</v>
      </c>
      <c r="C23" s="16" t="s">
        <v>33</v>
      </c>
      <c r="D23" s="16" t="s">
        <v>220</v>
      </c>
      <c r="E23" s="17" t="s">
        <v>17</v>
      </c>
      <c r="F23" s="31" t="s">
        <v>67</v>
      </c>
      <c r="G23" s="32">
        <v>80000</v>
      </c>
      <c r="H23" s="31" t="s">
        <v>40</v>
      </c>
      <c r="I23" s="33">
        <v>48701.440000000002</v>
      </c>
      <c r="J23" s="20">
        <v>575816044.49227679</v>
      </c>
      <c r="K23" s="20">
        <f t="shared" si="0"/>
        <v>598848686.27196789</v>
      </c>
    </row>
    <row r="24" spans="1:11" x14ac:dyDescent="0.25">
      <c r="A24" s="16">
        <v>21</v>
      </c>
      <c r="B24" s="16" t="s">
        <v>55</v>
      </c>
      <c r="C24" s="16" t="s">
        <v>33</v>
      </c>
      <c r="D24" s="16" t="s">
        <v>221</v>
      </c>
      <c r="E24" s="17" t="s">
        <v>25</v>
      </c>
      <c r="F24" s="31" t="s">
        <v>77</v>
      </c>
      <c r="G24" s="32">
        <v>82400</v>
      </c>
      <c r="H24" s="31" t="s">
        <v>11</v>
      </c>
      <c r="I24" s="33">
        <v>1353.82</v>
      </c>
      <c r="J24" s="20">
        <v>6457721.4000000004</v>
      </c>
      <c r="K24" s="20">
        <f t="shared" si="0"/>
        <v>6716030.256000001</v>
      </c>
    </row>
    <row r="25" spans="1:11" x14ac:dyDescent="0.25">
      <c r="A25" s="16">
        <v>22</v>
      </c>
      <c r="B25" s="16" t="s">
        <v>55</v>
      </c>
      <c r="C25" s="16" t="s">
        <v>33</v>
      </c>
      <c r="D25" s="16" t="s">
        <v>222</v>
      </c>
      <c r="E25" s="17" t="s">
        <v>19</v>
      </c>
      <c r="F25" s="31" t="s">
        <v>78</v>
      </c>
      <c r="G25" s="32">
        <v>82400</v>
      </c>
      <c r="H25" s="31" t="s">
        <v>47</v>
      </c>
      <c r="I25" s="33">
        <v>1272.9000000000001</v>
      </c>
      <c r="J25" s="20">
        <v>6071733</v>
      </c>
      <c r="K25" s="20">
        <f t="shared" si="0"/>
        <v>6314602.3200000003</v>
      </c>
    </row>
    <row r="26" spans="1:11" x14ac:dyDescent="0.25">
      <c r="A26" s="16">
        <v>23</v>
      </c>
      <c r="B26" s="16" t="s">
        <v>55</v>
      </c>
      <c r="C26" s="16" t="s">
        <v>33</v>
      </c>
      <c r="D26" s="16" t="s">
        <v>223</v>
      </c>
      <c r="E26" s="17" t="s">
        <v>15</v>
      </c>
      <c r="F26" s="31" t="s">
        <v>62</v>
      </c>
      <c r="G26" s="32">
        <v>81460</v>
      </c>
      <c r="H26" s="31" t="s">
        <v>48</v>
      </c>
      <c r="I26" s="33">
        <v>2243.42</v>
      </c>
      <c r="J26" s="20">
        <v>16809308.926599998</v>
      </c>
      <c r="K26" s="20">
        <f t="shared" si="0"/>
        <v>17481681.283663999</v>
      </c>
    </row>
    <row r="27" spans="1:11" x14ac:dyDescent="0.25">
      <c r="A27" s="16">
        <v>24</v>
      </c>
      <c r="B27" s="16" t="s">
        <v>55</v>
      </c>
      <c r="C27" s="16" t="s">
        <v>33</v>
      </c>
      <c r="D27" s="16" t="s">
        <v>224</v>
      </c>
      <c r="E27" s="17" t="s">
        <v>24</v>
      </c>
      <c r="F27" s="31" t="s">
        <v>61</v>
      </c>
      <c r="G27" s="32">
        <v>81110</v>
      </c>
      <c r="H27" s="31" t="s">
        <v>4</v>
      </c>
      <c r="I27" s="33">
        <v>2820.03</v>
      </c>
      <c r="J27" s="20">
        <v>14946159.000000002</v>
      </c>
      <c r="K27" s="20">
        <f t="shared" si="0"/>
        <v>15544005.360000003</v>
      </c>
    </row>
    <row r="28" spans="1:11" x14ac:dyDescent="0.25">
      <c r="A28" s="16">
        <v>25</v>
      </c>
      <c r="B28" s="16" t="s">
        <v>55</v>
      </c>
      <c r="C28" s="16" t="s">
        <v>33</v>
      </c>
      <c r="D28" s="16" t="s">
        <v>225</v>
      </c>
      <c r="E28" s="17" t="s">
        <v>26</v>
      </c>
      <c r="F28" s="31" t="s">
        <v>59</v>
      </c>
      <c r="G28" s="32">
        <v>81200</v>
      </c>
      <c r="H28" s="31" t="s">
        <v>2</v>
      </c>
      <c r="I28" s="33">
        <v>5525</v>
      </c>
      <c r="J28" s="20">
        <v>29282500</v>
      </c>
      <c r="K28" s="20">
        <f t="shared" si="0"/>
        <v>30453800</v>
      </c>
    </row>
    <row r="29" spans="1:11" x14ac:dyDescent="0.25">
      <c r="A29" s="16">
        <v>26</v>
      </c>
      <c r="B29" s="16" t="s">
        <v>55</v>
      </c>
      <c r="C29" s="16" t="s">
        <v>33</v>
      </c>
      <c r="D29" s="16" t="s">
        <v>226</v>
      </c>
      <c r="E29" s="17" t="s">
        <v>22</v>
      </c>
      <c r="F29" s="31" t="s">
        <v>74</v>
      </c>
      <c r="G29" s="32">
        <v>82017</v>
      </c>
      <c r="H29" s="31" t="s">
        <v>41</v>
      </c>
      <c r="I29" s="33">
        <v>4941</v>
      </c>
      <c r="J29" s="20">
        <v>23568570</v>
      </c>
      <c r="K29" s="20">
        <f t="shared" si="0"/>
        <v>24511312.800000001</v>
      </c>
    </row>
    <row r="30" spans="1:11" x14ac:dyDescent="0.25">
      <c r="A30" s="16">
        <v>27</v>
      </c>
      <c r="B30" s="16" t="s">
        <v>55</v>
      </c>
      <c r="C30" s="16" t="s">
        <v>33</v>
      </c>
      <c r="D30" s="16" t="s">
        <v>227</v>
      </c>
      <c r="E30" s="17" t="s">
        <v>16</v>
      </c>
      <c r="F30" s="31" t="s">
        <v>79</v>
      </c>
      <c r="G30" s="32">
        <v>80800</v>
      </c>
      <c r="H30" s="31" t="s">
        <v>49</v>
      </c>
      <c r="I30" s="33">
        <v>1511.51</v>
      </c>
      <c r="J30" s="20">
        <v>7209902.7000000002</v>
      </c>
      <c r="K30" s="20">
        <f t="shared" si="0"/>
        <v>7498298.8080000002</v>
      </c>
    </row>
    <row r="31" spans="1:11" x14ac:dyDescent="0.25">
      <c r="A31" s="16">
        <v>28</v>
      </c>
      <c r="B31" s="16" t="s">
        <v>55</v>
      </c>
      <c r="C31" s="16" t="s">
        <v>33</v>
      </c>
      <c r="D31" s="16" t="s">
        <v>228</v>
      </c>
      <c r="E31" s="17" t="s">
        <v>0</v>
      </c>
      <c r="F31" s="31" t="s">
        <v>73</v>
      </c>
      <c r="G31" s="32">
        <v>82910</v>
      </c>
      <c r="H31" s="31" t="s">
        <v>50</v>
      </c>
      <c r="I31" s="33">
        <v>645.95000000000005</v>
      </c>
      <c r="J31" s="20">
        <v>2807557.8615994998</v>
      </c>
      <c r="K31" s="20">
        <f t="shared" si="0"/>
        <v>2919860.1760634799</v>
      </c>
    </row>
    <row r="32" spans="1:11" x14ac:dyDescent="0.25">
      <c r="A32" s="16">
        <v>29</v>
      </c>
      <c r="B32" s="16" t="s">
        <v>55</v>
      </c>
      <c r="C32" s="16" t="s">
        <v>33</v>
      </c>
      <c r="D32" s="16" t="s">
        <v>229</v>
      </c>
      <c r="E32" s="17" t="s">
        <v>20</v>
      </c>
      <c r="F32" s="31" t="s">
        <v>60</v>
      </c>
      <c r="G32" s="32">
        <v>81900</v>
      </c>
      <c r="H32" s="31" t="s">
        <v>51</v>
      </c>
      <c r="I32" s="33">
        <v>1340.72</v>
      </c>
      <c r="J32" s="20">
        <v>6395234.4000000004</v>
      </c>
      <c r="K32" s="20">
        <f t="shared" si="0"/>
        <v>6651043.7760000005</v>
      </c>
    </row>
    <row r="33" spans="1:11" x14ac:dyDescent="0.25">
      <c r="A33" s="16">
        <v>30</v>
      </c>
      <c r="B33" s="25" t="s">
        <v>55</v>
      </c>
      <c r="C33" s="25" t="s">
        <v>107</v>
      </c>
      <c r="D33" s="25" t="s">
        <v>230</v>
      </c>
      <c r="E33" s="26" t="s">
        <v>10</v>
      </c>
      <c r="F33" s="34" t="s">
        <v>75</v>
      </c>
      <c r="G33" s="35">
        <v>80308</v>
      </c>
      <c r="H33" s="34" t="s">
        <v>41</v>
      </c>
      <c r="I33" s="33">
        <v>2065.3000000000002</v>
      </c>
      <c r="J33" s="20">
        <v>9870800.8488500006</v>
      </c>
      <c r="K33" s="20">
        <f t="shared" si="0"/>
        <v>10265632.882804001</v>
      </c>
    </row>
    <row r="34" spans="1:11" x14ac:dyDescent="0.25">
      <c r="A34" s="16">
        <v>31</v>
      </c>
      <c r="B34" s="25" t="s">
        <v>55</v>
      </c>
      <c r="C34" s="25" t="s">
        <v>110</v>
      </c>
      <c r="D34" s="25"/>
      <c r="E34" s="26" t="s">
        <v>92</v>
      </c>
      <c r="F34" s="34" t="s">
        <v>56</v>
      </c>
      <c r="G34" s="35">
        <v>80308</v>
      </c>
      <c r="H34" s="34" t="s">
        <v>5</v>
      </c>
      <c r="I34" s="33">
        <v>10219.49</v>
      </c>
      <c r="J34" s="20">
        <v>65736347.004671201</v>
      </c>
      <c r="K34" s="20">
        <f t="shared" si="0"/>
        <v>68365800.884858057</v>
      </c>
    </row>
    <row r="35" spans="1:11" x14ac:dyDescent="0.25">
      <c r="A35" s="16">
        <v>32</v>
      </c>
      <c r="B35" s="16" t="s">
        <v>55</v>
      </c>
      <c r="C35" s="16" t="s">
        <v>29</v>
      </c>
      <c r="D35" s="25" t="s">
        <v>231</v>
      </c>
      <c r="E35" s="26" t="s">
        <v>1</v>
      </c>
      <c r="F35" s="34" t="s">
        <v>88</v>
      </c>
      <c r="G35" s="32">
        <v>80100</v>
      </c>
      <c r="H35" s="31" t="s">
        <v>40</v>
      </c>
      <c r="I35" s="33">
        <v>18799.48</v>
      </c>
      <c r="J35" s="20">
        <v>121067032.11228</v>
      </c>
      <c r="K35" s="20">
        <f t="shared" si="0"/>
        <v>125909713.39677121</v>
      </c>
    </row>
    <row r="36" spans="1:11" x14ac:dyDescent="0.25">
      <c r="A36" s="16">
        <v>33</v>
      </c>
      <c r="B36" s="25" t="s">
        <v>55</v>
      </c>
      <c r="C36" s="25" t="s">
        <v>31</v>
      </c>
      <c r="D36" s="25" t="s">
        <v>232</v>
      </c>
      <c r="E36" s="26" t="s">
        <v>98</v>
      </c>
      <c r="F36" s="34" t="s">
        <v>99</v>
      </c>
      <c r="G36" s="35">
        <v>3100</v>
      </c>
      <c r="H36" s="34" t="s">
        <v>100</v>
      </c>
      <c r="I36" s="33">
        <v>650</v>
      </c>
      <c r="J36" s="20">
        <v>6032195</v>
      </c>
      <c r="K36" s="20">
        <f t="shared" si="0"/>
        <v>6273482.7999999998</v>
      </c>
    </row>
    <row r="37" spans="1:11" x14ac:dyDescent="0.25">
      <c r="A37" s="16">
        <v>34</v>
      </c>
      <c r="B37" s="25" t="s">
        <v>55</v>
      </c>
      <c r="C37" s="25" t="s">
        <v>31</v>
      </c>
      <c r="D37" s="25" t="s">
        <v>233</v>
      </c>
      <c r="E37" s="26" t="s">
        <v>102</v>
      </c>
      <c r="F37" s="34" t="s">
        <v>103</v>
      </c>
      <c r="G37" s="35">
        <v>82010</v>
      </c>
      <c r="H37" s="34" t="s">
        <v>101</v>
      </c>
      <c r="I37" s="33">
        <v>553.39</v>
      </c>
      <c r="J37" s="20">
        <v>3519560.4</v>
      </c>
      <c r="K37" s="20">
        <f t="shared" si="0"/>
        <v>3660342.8160000001</v>
      </c>
    </row>
    <row r="38" spans="1:11" x14ac:dyDescent="0.25">
      <c r="A38" s="16">
        <v>35</v>
      </c>
      <c r="B38" s="25" t="s">
        <v>55</v>
      </c>
      <c r="C38" s="25" t="s">
        <v>31</v>
      </c>
      <c r="D38" s="25" t="s">
        <v>234</v>
      </c>
      <c r="E38" s="26" t="s">
        <v>235</v>
      </c>
      <c r="F38" s="34" t="s">
        <v>104</v>
      </c>
      <c r="G38" s="35">
        <v>80020</v>
      </c>
      <c r="H38" s="34" t="s">
        <v>5</v>
      </c>
      <c r="I38" s="33">
        <v>15000.510000000002</v>
      </c>
      <c r="J38" s="20">
        <v>119254054.50000001</v>
      </c>
      <c r="K38" s="20">
        <f t="shared" si="0"/>
        <v>124024216.68000002</v>
      </c>
    </row>
    <row r="39" spans="1:11" x14ac:dyDescent="0.25">
      <c r="A39" s="16">
        <v>36</v>
      </c>
      <c r="B39" s="16" t="s">
        <v>83</v>
      </c>
      <c r="C39" s="16" t="s">
        <v>109</v>
      </c>
      <c r="D39" s="16" t="s">
        <v>236</v>
      </c>
      <c r="E39" s="29" t="s">
        <v>108</v>
      </c>
      <c r="F39" s="16"/>
      <c r="G39" s="18">
        <v>80027</v>
      </c>
      <c r="H39" s="16" t="s">
        <v>40</v>
      </c>
      <c r="I39" s="33">
        <v>1040.5999999999999</v>
      </c>
      <c r="J39" s="20">
        <v>6618215.9999999991</v>
      </c>
      <c r="K39" s="20">
        <f t="shared" si="0"/>
        <v>6882944.6399999997</v>
      </c>
    </row>
    <row r="40" spans="1:11" x14ac:dyDescent="0.25">
      <c r="A40" s="25"/>
      <c r="B40" s="25"/>
      <c r="C40" s="25"/>
      <c r="D40" s="25"/>
      <c r="E40" s="26"/>
      <c r="F40" s="34"/>
      <c r="G40" s="35"/>
      <c r="H40" s="34"/>
      <c r="I40" s="33"/>
      <c r="J40" s="36"/>
      <c r="K40" s="20"/>
    </row>
    <row r="41" spans="1:11" x14ac:dyDescent="0.25">
      <c r="A41" s="643" t="s">
        <v>237</v>
      </c>
      <c r="B41" s="643"/>
      <c r="C41" s="643"/>
      <c r="D41" s="643"/>
      <c r="E41" s="643"/>
      <c r="F41" s="643"/>
      <c r="G41" s="643"/>
      <c r="H41" s="643"/>
      <c r="I41" s="19"/>
      <c r="J41" s="37">
        <f>SUM(J4:J40)</f>
        <v>1703039686.1862874</v>
      </c>
      <c r="K41" s="20"/>
    </row>
  </sheetData>
  <mergeCells count="1">
    <mergeCell ref="A41:H41"/>
  </mergeCells>
  <pageMargins left="0.7" right="0.7" top="0.75" bottom="0.75" header="0.3" footer="0.3"/>
  <customProperties>
    <customPr name="LastActive" r:id="rId1"/>
  </customPropertie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theme="2" tint="-0.499984740745262"/>
  </sheetPr>
  <dimension ref="A1:K124"/>
  <sheetViews>
    <sheetView showGridLines="0" workbookViewId="0">
      <pane ySplit="1" topLeftCell="A5" activePane="bottomLeft" state="frozen"/>
      <selection pane="bottomLeft" activeCell="A124" sqref="A124"/>
    </sheetView>
  </sheetViews>
  <sheetFormatPr baseColWidth="10" defaultColWidth="11.42578125" defaultRowHeight="15" x14ac:dyDescent="0.25"/>
  <cols>
    <col min="3" max="3" width="142.7109375" bestFit="1" customWidth="1"/>
    <col min="4" max="4" width="97.28515625" customWidth="1"/>
    <col min="5" max="5" width="28.5703125" bestFit="1" customWidth="1"/>
    <col min="8" max="8" width="11.42578125" style="147"/>
    <col min="9" max="9" width="16.42578125" style="147" customWidth="1"/>
    <col min="10" max="10" width="15" style="147" bestFit="1" customWidth="1"/>
    <col min="11" max="11" width="14.85546875" style="147" customWidth="1"/>
  </cols>
  <sheetData>
    <row r="1" spans="1:11" x14ac:dyDescent="0.25">
      <c r="A1" s="38" t="s">
        <v>238</v>
      </c>
      <c r="B1" s="38" t="s">
        <v>239</v>
      </c>
      <c r="C1" s="39" t="s">
        <v>240</v>
      </c>
      <c r="D1" s="39" t="s">
        <v>241</v>
      </c>
      <c r="E1" s="39" t="s">
        <v>242</v>
      </c>
      <c r="F1" s="39" t="s">
        <v>243</v>
      </c>
      <c r="G1" s="39" t="s">
        <v>244</v>
      </c>
      <c r="H1" s="146" t="s">
        <v>245</v>
      </c>
      <c r="I1" s="146" t="s">
        <v>246</v>
      </c>
      <c r="J1" s="146" t="s">
        <v>247</v>
      </c>
    </row>
    <row r="2" spans="1:11" x14ac:dyDescent="0.25">
      <c r="A2">
        <v>1</v>
      </c>
      <c r="B2">
        <v>416</v>
      </c>
      <c r="C2" t="s">
        <v>248</v>
      </c>
      <c r="D2" t="s">
        <v>249</v>
      </c>
      <c r="E2" t="s">
        <v>250</v>
      </c>
      <c r="F2" t="s">
        <v>130</v>
      </c>
      <c r="G2">
        <v>80370</v>
      </c>
      <c r="H2" s="147">
        <v>202.13</v>
      </c>
      <c r="I2" s="147">
        <v>2580.35</v>
      </c>
      <c r="J2" s="147">
        <v>404260</v>
      </c>
      <c r="K2" s="147">
        <f>(H2*8000)*0.25</f>
        <v>404260</v>
      </c>
    </row>
    <row r="3" spans="1:11" x14ac:dyDescent="0.25">
      <c r="A3">
        <v>2</v>
      </c>
      <c r="B3">
        <v>1351</v>
      </c>
      <c r="C3" t="s">
        <v>251</v>
      </c>
      <c r="D3" t="s">
        <v>252</v>
      </c>
      <c r="E3" t="s">
        <v>126</v>
      </c>
      <c r="F3" t="s">
        <v>126</v>
      </c>
      <c r="G3">
        <v>81820</v>
      </c>
      <c r="H3" s="147">
        <v>42</v>
      </c>
      <c r="I3" s="147">
        <v>3141.12</v>
      </c>
      <c r="J3" s="147">
        <v>84000</v>
      </c>
      <c r="K3" s="147">
        <f t="shared" ref="K3:K66" si="0">(H3*8000)*0.25</f>
        <v>84000</v>
      </c>
    </row>
    <row r="4" spans="1:11" x14ac:dyDescent="0.25">
      <c r="A4">
        <v>3</v>
      </c>
      <c r="B4">
        <v>1351</v>
      </c>
      <c r="C4" t="s">
        <v>253</v>
      </c>
      <c r="D4" t="s">
        <v>252</v>
      </c>
      <c r="E4" t="s">
        <v>126</v>
      </c>
      <c r="F4" t="s">
        <v>126</v>
      </c>
      <c r="G4">
        <v>81820</v>
      </c>
      <c r="H4" s="147">
        <v>42</v>
      </c>
      <c r="I4" s="147">
        <v>2603.9699999999998</v>
      </c>
      <c r="J4" s="147">
        <v>84000</v>
      </c>
      <c r="K4" s="147">
        <f t="shared" si="0"/>
        <v>84000</v>
      </c>
    </row>
    <row r="5" spans="1:11" x14ac:dyDescent="0.25">
      <c r="A5">
        <v>4</v>
      </c>
      <c r="B5">
        <v>1351</v>
      </c>
      <c r="C5" t="s">
        <v>254</v>
      </c>
      <c r="D5" t="s">
        <v>252</v>
      </c>
      <c r="E5" t="s">
        <v>126</v>
      </c>
      <c r="F5" t="s">
        <v>126</v>
      </c>
      <c r="G5">
        <v>81820</v>
      </c>
      <c r="H5" s="147">
        <v>42</v>
      </c>
      <c r="I5" s="147">
        <v>2603.98</v>
      </c>
      <c r="J5" s="147">
        <v>84000</v>
      </c>
      <c r="K5" s="147">
        <f t="shared" si="0"/>
        <v>84000</v>
      </c>
    </row>
    <row r="6" spans="1:11" x14ac:dyDescent="0.25">
      <c r="A6">
        <v>5</v>
      </c>
      <c r="B6">
        <v>1351</v>
      </c>
      <c r="C6" t="s">
        <v>255</v>
      </c>
      <c r="D6" t="s">
        <v>252</v>
      </c>
      <c r="E6" t="s">
        <v>126</v>
      </c>
      <c r="F6" t="s">
        <v>126</v>
      </c>
      <c r="G6">
        <v>81820</v>
      </c>
      <c r="H6" s="147">
        <v>42</v>
      </c>
      <c r="I6" s="147">
        <v>2603.98</v>
      </c>
      <c r="J6" s="147">
        <v>84000</v>
      </c>
      <c r="K6" s="147">
        <f t="shared" si="0"/>
        <v>84000</v>
      </c>
    </row>
    <row r="7" spans="1:11" x14ac:dyDescent="0.25">
      <c r="A7">
        <v>6</v>
      </c>
      <c r="B7">
        <v>1351</v>
      </c>
      <c r="C7" t="s">
        <v>256</v>
      </c>
      <c r="D7" t="s">
        <v>252</v>
      </c>
      <c r="E7" t="s">
        <v>126</v>
      </c>
      <c r="F7" t="s">
        <v>126</v>
      </c>
      <c r="G7">
        <v>81820</v>
      </c>
      <c r="H7" s="147">
        <v>42</v>
      </c>
      <c r="I7" s="147">
        <v>2603.9699999999998</v>
      </c>
      <c r="J7" s="147">
        <v>84000</v>
      </c>
      <c r="K7" s="147">
        <f t="shared" si="0"/>
        <v>84000</v>
      </c>
    </row>
    <row r="8" spans="1:11" x14ac:dyDescent="0.25">
      <c r="A8">
        <v>7</v>
      </c>
      <c r="B8">
        <v>1419</v>
      </c>
      <c r="C8" t="s">
        <v>257</v>
      </c>
      <c r="D8" t="s">
        <v>258</v>
      </c>
      <c r="E8" t="s">
        <v>4</v>
      </c>
      <c r="F8" t="s">
        <v>4</v>
      </c>
      <c r="G8">
        <v>81000</v>
      </c>
      <c r="H8" s="147">
        <v>160</v>
      </c>
      <c r="I8" s="147">
        <v>7549.93</v>
      </c>
      <c r="J8" s="147">
        <v>320000</v>
      </c>
      <c r="K8" s="147">
        <f t="shared" si="0"/>
        <v>320000</v>
      </c>
    </row>
    <row r="9" spans="1:11" x14ac:dyDescent="0.25">
      <c r="A9">
        <v>8</v>
      </c>
      <c r="B9">
        <v>1421</v>
      </c>
      <c r="C9" t="s">
        <v>259</v>
      </c>
      <c r="D9" t="s">
        <v>260</v>
      </c>
      <c r="E9" t="s">
        <v>261</v>
      </c>
      <c r="F9" t="s">
        <v>262</v>
      </c>
      <c r="G9">
        <v>82700</v>
      </c>
      <c r="H9" s="147">
        <v>245.75</v>
      </c>
      <c r="I9" s="147">
        <v>4268.91</v>
      </c>
      <c r="J9" s="147">
        <v>491500</v>
      </c>
      <c r="K9" s="147">
        <f t="shared" si="0"/>
        <v>491500</v>
      </c>
    </row>
    <row r="10" spans="1:11" x14ac:dyDescent="0.25">
      <c r="A10">
        <v>9</v>
      </c>
      <c r="B10">
        <v>1422</v>
      </c>
      <c r="C10" t="s">
        <v>263</v>
      </c>
      <c r="D10" t="s">
        <v>264</v>
      </c>
      <c r="E10" t="s">
        <v>41</v>
      </c>
      <c r="F10" t="s">
        <v>101</v>
      </c>
      <c r="G10">
        <v>82017</v>
      </c>
      <c r="H10" s="147">
        <v>480</v>
      </c>
      <c r="I10" s="147">
        <v>42123.91</v>
      </c>
      <c r="J10" s="147">
        <v>960000</v>
      </c>
      <c r="K10" s="147">
        <f t="shared" si="0"/>
        <v>960000</v>
      </c>
    </row>
    <row r="11" spans="1:11" x14ac:dyDescent="0.25">
      <c r="A11">
        <v>10</v>
      </c>
      <c r="B11">
        <v>1490</v>
      </c>
      <c r="C11" t="s">
        <v>265</v>
      </c>
      <c r="D11" t="s">
        <v>266</v>
      </c>
      <c r="E11" t="s">
        <v>267</v>
      </c>
      <c r="F11" t="s">
        <v>130</v>
      </c>
      <c r="G11">
        <v>80379</v>
      </c>
      <c r="H11" s="147">
        <v>18.100000000000001</v>
      </c>
      <c r="I11" s="147">
        <v>3813.07</v>
      </c>
      <c r="J11" s="147">
        <v>36200</v>
      </c>
      <c r="K11" s="147">
        <f t="shared" si="0"/>
        <v>36200</v>
      </c>
    </row>
    <row r="12" spans="1:11" x14ac:dyDescent="0.25">
      <c r="A12">
        <v>11</v>
      </c>
      <c r="B12">
        <v>1512</v>
      </c>
      <c r="C12" t="s">
        <v>268</v>
      </c>
      <c r="D12" t="s">
        <v>269</v>
      </c>
      <c r="E12" t="s">
        <v>270</v>
      </c>
      <c r="F12" t="s">
        <v>34</v>
      </c>
      <c r="G12">
        <v>81330</v>
      </c>
      <c r="H12" s="147">
        <v>50</v>
      </c>
      <c r="I12" s="147">
        <v>2368.0100000000002</v>
      </c>
      <c r="J12" s="147">
        <v>100000</v>
      </c>
      <c r="K12" s="147">
        <f t="shared" si="0"/>
        <v>100000</v>
      </c>
    </row>
    <row r="13" spans="1:11" x14ac:dyDescent="0.25">
      <c r="A13">
        <v>12</v>
      </c>
      <c r="B13">
        <v>1573</v>
      </c>
      <c r="C13" t="s">
        <v>271</v>
      </c>
      <c r="D13" t="s">
        <v>272</v>
      </c>
      <c r="E13" t="s">
        <v>273</v>
      </c>
      <c r="F13" t="s">
        <v>5</v>
      </c>
      <c r="G13">
        <v>80128</v>
      </c>
      <c r="H13" s="147">
        <v>1386.34</v>
      </c>
      <c r="I13" s="147">
        <v>64216.1</v>
      </c>
      <c r="J13" s="147">
        <v>2772680</v>
      </c>
      <c r="K13" s="147">
        <f t="shared" si="0"/>
        <v>2772680</v>
      </c>
    </row>
    <row r="14" spans="1:11" x14ac:dyDescent="0.25">
      <c r="A14">
        <v>13</v>
      </c>
      <c r="B14">
        <v>1582</v>
      </c>
      <c r="C14" t="s">
        <v>274</v>
      </c>
      <c r="D14" t="s">
        <v>275</v>
      </c>
      <c r="E14" t="s">
        <v>2</v>
      </c>
      <c r="F14" t="s">
        <v>34</v>
      </c>
      <c r="G14">
        <v>81280</v>
      </c>
      <c r="H14" s="147">
        <v>420</v>
      </c>
      <c r="I14" s="147">
        <v>53518.19</v>
      </c>
      <c r="J14" s="147">
        <v>840000</v>
      </c>
      <c r="K14" s="147">
        <f t="shared" si="0"/>
        <v>840000</v>
      </c>
    </row>
    <row r="15" spans="1:11" x14ac:dyDescent="0.25">
      <c r="A15">
        <v>14</v>
      </c>
      <c r="B15">
        <v>1582</v>
      </c>
      <c r="C15" t="s">
        <v>276</v>
      </c>
      <c r="D15" t="s">
        <v>275</v>
      </c>
      <c r="E15" t="s">
        <v>2</v>
      </c>
      <c r="F15" t="s">
        <v>34</v>
      </c>
      <c r="G15">
        <v>81280</v>
      </c>
      <c r="H15" s="147">
        <v>420</v>
      </c>
      <c r="I15" s="147">
        <v>53518.19</v>
      </c>
      <c r="J15" s="147">
        <v>840000</v>
      </c>
      <c r="K15" s="147">
        <f t="shared" si="0"/>
        <v>840000</v>
      </c>
    </row>
    <row r="16" spans="1:11" x14ac:dyDescent="0.25">
      <c r="A16">
        <v>15</v>
      </c>
      <c r="B16">
        <v>1587</v>
      </c>
      <c r="C16" t="s">
        <v>277</v>
      </c>
      <c r="D16" t="s">
        <v>278</v>
      </c>
      <c r="E16" t="s">
        <v>41</v>
      </c>
      <c r="F16" t="s">
        <v>101</v>
      </c>
      <c r="G16">
        <v>82010</v>
      </c>
      <c r="H16" s="147">
        <v>290</v>
      </c>
      <c r="I16" s="147">
        <v>47432.25</v>
      </c>
      <c r="J16" s="147">
        <v>580000</v>
      </c>
      <c r="K16" s="147">
        <f t="shared" si="0"/>
        <v>580000</v>
      </c>
    </row>
    <row r="17" spans="1:11" x14ac:dyDescent="0.25">
      <c r="A17">
        <v>16</v>
      </c>
      <c r="B17">
        <v>1590</v>
      </c>
      <c r="C17" t="s">
        <v>279</v>
      </c>
      <c r="D17" t="s">
        <v>280</v>
      </c>
      <c r="E17" t="s">
        <v>2</v>
      </c>
      <c r="F17" t="s">
        <v>34</v>
      </c>
      <c r="G17">
        <v>81280</v>
      </c>
      <c r="H17" s="147">
        <v>125.25</v>
      </c>
      <c r="I17" s="147">
        <v>5270.26</v>
      </c>
      <c r="J17" s="147">
        <v>250500</v>
      </c>
      <c r="K17" s="147">
        <f t="shared" si="0"/>
        <v>250500</v>
      </c>
    </row>
    <row r="18" spans="1:11" x14ac:dyDescent="0.25">
      <c r="A18">
        <v>17</v>
      </c>
      <c r="B18">
        <v>1614</v>
      </c>
      <c r="C18" t="s">
        <v>281</v>
      </c>
      <c r="D18" t="s">
        <v>282</v>
      </c>
      <c r="E18" t="s">
        <v>273</v>
      </c>
      <c r="F18" t="s">
        <v>5</v>
      </c>
      <c r="G18">
        <v>80129</v>
      </c>
      <c r="H18" s="147">
        <v>147.69999999999999</v>
      </c>
      <c r="I18" s="147">
        <v>21095.95</v>
      </c>
      <c r="J18" s="147">
        <v>295400</v>
      </c>
      <c r="K18" s="147">
        <f t="shared" si="0"/>
        <v>295400</v>
      </c>
    </row>
    <row r="19" spans="1:11" x14ac:dyDescent="0.25">
      <c r="A19">
        <v>18</v>
      </c>
      <c r="B19">
        <v>1621</v>
      </c>
      <c r="C19" t="s">
        <v>283</v>
      </c>
      <c r="D19" t="s">
        <v>284</v>
      </c>
      <c r="E19" t="s">
        <v>285</v>
      </c>
      <c r="F19" t="s">
        <v>47</v>
      </c>
      <c r="G19">
        <v>82530</v>
      </c>
      <c r="H19" s="147">
        <v>799.2</v>
      </c>
      <c r="I19" s="147">
        <v>4427.05</v>
      </c>
      <c r="J19" s="147">
        <v>1598400</v>
      </c>
      <c r="K19" s="147">
        <f t="shared" si="0"/>
        <v>1598400</v>
      </c>
    </row>
    <row r="20" spans="1:11" x14ac:dyDescent="0.25">
      <c r="A20">
        <v>19</v>
      </c>
      <c r="B20">
        <v>1633</v>
      </c>
      <c r="C20" t="s">
        <v>286</v>
      </c>
      <c r="D20" t="s">
        <v>287</v>
      </c>
      <c r="E20" t="s">
        <v>273</v>
      </c>
      <c r="F20" t="s">
        <v>5</v>
      </c>
      <c r="G20">
        <v>80139</v>
      </c>
      <c r="H20" s="147">
        <v>2485</v>
      </c>
      <c r="I20" s="147">
        <v>38653.54</v>
      </c>
      <c r="J20" s="147">
        <v>4970000</v>
      </c>
      <c r="K20" s="147">
        <f t="shared" si="0"/>
        <v>4970000</v>
      </c>
    </row>
    <row r="21" spans="1:11" x14ac:dyDescent="0.25">
      <c r="A21">
        <v>20</v>
      </c>
      <c r="B21">
        <v>1636</v>
      </c>
      <c r="C21" t="s">
        <v>288</v>
      </c>
      <c r="D21" t="s">
        <v>289</v>
      </c>
      <c r="E21" t="s">
        <v>126</v>
      </c>
      <c r="F21" t="s">
        <v>126</v>
      </c>
      <c r="G21">
        <v>81805</v>
      </c>
      <c r="H21" s="147">
        <v>203.12</v>
      </c>
      <c r="I21" s="147">
        <v>6982.78</v>
      </c>
      <c r="J21" s="147">
        <v>406240</v>
      </c>
      <c r="K21" s="147">
        <f t="shared" si="0"/>
        <v>406240</v>
      </c>
    </row>
    <row r="22" spans="1:11" x14ac:dyDescent="0.25">
      <c r="A22">
        <v>21</v>
      </c>
      <c r="B22">
        <v>1639</v>
      </c>
      <c r="C22" t="s">
        <v>290</v>
      </c>
      <c r="D22" t="s">
        <v>291</v>
      </c>
      <c r="E22" t="s">
        <v>292</v>
      </c>
      <c r="F22" t="s">
        <v>101</v>
      </c>
      <c r="G22">
        <v>82320</v>
      </c>
      <c r="H22" s="147">
        <v>409.35</v>
      </c>
      <c r="I22" s="147">
        <v>2095.87</v>
      </c>
      <c r="J22" s="147">
        <v>818700</v>
      </c>
      <c r="K22" s="147">
        <f t="shared" si="0"/>
        <v>818700</v>
      </c>
    </row>
    <row r="23" spans="1:11" x14ac:dyDescent="0.25">
      <c r="A23">
        <v>22</v>
      </c>
      <c r="B23">
        <v>1640</v>
      </c>
      <c r="C23" t="s">
        <v>293</v>
      </c>
      <c r="D23" t="s">
        <v>294</v>
      </c>
      <c r="E23" t="s">
        <v>270</v>
      </c>
      <c r="F23" t="s">
        <v>34</v>
      </c>
      <c r="G23">
        <v>81300</v>
      </c>
      <c r="H23" s="147">
        <v>32</v>
      </c>
      <c r="I23" s="147">
        <v>2251.85</v>
      </c>
      <c r="J23" s="147">
        <v>64000</v>
      </c>
      <c r="K23" s="147">
        <f t="shared" si="0"/>
        <v>64000</v>
      </c>
    </row>
    <row r="24" spans="1:11" x14ac:dyDescent="0.25">
      <c r="A24">
        <v>23</v>
      </c>
      <c r="B24">
        <v>1642</v>
      </c>
      <c r="C24" t="s">
        <v>295</v>
      </c>
      <c r="D24" t="s">
        <v>296</v>
      </c>
      <c r="E24" t="s">
        <v>297</v>
      </c>
      <c r="F24" t="s">
        <v>35</v>
      </c>
      <c r="G24">
        <v>81610</v>
      </c>
      <c r="H24" s="147">
        <v>447.99</v>
      </c>
      <c r="I24" s="147">
        <v>6047.72</v>
      </c>
      <c r="J24" s="147">
        <v>895980</v>
      </c>
      <c r="K24" s="147">
        <f t="shared" si="0"/>
        <v>895980</v>
      </c>
    </row>
    <row r="25" spans="1:11" x14ac:dyDescent="0.25">
      <c r="A25">
        <v>25</v>
      </c>
      <c r="B25">
        <v>1656</v>
      </c>
      <c r="C25" t="s">
        <v>298</v>
      </c>
      <c r="D25" t="s">
        <v>299</v>
      </c>
      <c r="E25" t="s">
        <v>300</v>
      </c>
      <c r="F25" t="s">
        <v>5</v>
      </c>
      <c r="G25">
        <v>81199</v>
      </c>
      <c r="H25" s="147">
        <v>241.51</v>
      </c>
      <c r="I25" s="147">
        <v>11253.74</v>
      </c>
      <c r="J25" s="147">
        <v>483020</v>
      </c>
      <c r="K25" s="147">
        <f t="shared" si="0"/>
        <v>483020</v>
      </c>
    </row>
    <row r="26" spans="1:11" x14ac:dyDescent="0.25">
      <c r="A26">
        <v>24</v>
      </c>
      <c r="B26">
        <v>1656</v>
      </c>
      <c r="C26" t="s">
        <v>301</v>
      </c>
      <c r="D26" t="s">
        <v>299</v>
      </c>
      <c r="E26" t="s">
        <v>300</v>
      </c>
      <c r="F26" t="s">
        <v>5</v>
      </c>
      <c r="G26">
        <v>81199</v>
      </c>
      <c r="H26" s="147">
        <v>241.51</v>
      </c>
      <c r="I26" s="147">
        <v>11253.74</v>
      </c>
      <c r="J26" s="147">
        <v>483020</v>
      </c>
      <c r="K26" s="147">
        <f t="shared" si="0"/>
        <v>483020</v>
      </c>
    </row>
    <row r="27" spans="1:11" x14ac:dyDescent="0.25">
      <c r="A27">
        <v>26</v>
      </c>
      <c r="B27">
        <v>1656</v>
      </c>
      <c r="C27" t="s">
        <v>302</v>
      </c>
      <c r="D27" t="s">
        <v>299</v>
      </c>
      <c r="E27" t="s">
        <v>300</v>
      </c>
      <c r="F27" t="s">
        <v>5</v>
      </c>
      <c r="G27">
        <v>81199</v>
      </c>
      <c r="H27" s="147">
        <v>241.51</v>
      </c>
      <c r="I27" s="147">
        <v>11253.74</v>
      </c>
      <c r="J27" s="147">
        <v>483020</v>
      </c>
      <c r="K27" s="147">
        <f t="shared" si="0"/>
        <v>483020</v>
      </c>
    </row>
    <row r="28" spans="1:11" x14ac:dyDescent="0.25">
      <c r="A28">
        <v>27</v>
      </c>
      <c r="B28">
        <v>1663</v>
      </c>
      <c r="C28" t="s">
        <v>303</v>
      </c>
      <c r="D28" t="s">
        <v>304</v>
      </c>
      <c r="E28" t="s">
        <v>273</v>
      </c>
      <c r="F28" t="s">
        <v>5</v>
      </c>
      <c r="G28">
        <v>80016</v>
      </c>
      <c r="H28" s="147">
        <v>73.349999999999994</v>
      </c>
      <c r="I28" s="147">
        <v>10131.34</v>
      </c>
      <c r="J28" s="147">
        <v>146700</v>
      </c>
      <c r="K28" s="147">
        <f t="shared" si="0"/>
        <v>146700</v>
      </c>
    </row>
    <row r="29" spans="1:11" x14ac:dyDescent="0.25">
      <c r="A29">
        <v>28</v>
      </c>
      <c r="B29">
        <v>1672</v>
      </c>
      <c r="C29" t="s">
        <v>305</v>
      </c>
      <c r="D29" t="s">
        <v>306</v>
      </c>
      <c r="E29" t="s">
        <v>273</v>
      </c>
      <c r="F29" t="s">
        <v>5</v>
      </c>
      <c r="G29">
        <v>80000</v>
      </c>
      <c r="H29" s="147">
        <v>545.51</v>
      </c>
      <c r="I29" s="147">
        <v>37583.040000000001</v>
      </c>
      <c r="J29" s="147">
        <v>1091020</v>
      </c>
      <c r="K29" s="147">
        <f t="shared" si="0"/>
        <v>1091020</v>
      </c>
    </row>
    <row r="30" spans="1:11" x14ac:dyDescent="0.25">
      <c r="A30">
        <v>29</v>
      </c>
      <c r="B30">
        <v>1694</v>
      </c>
      <c r="C30" t="s">
        <v>307</v>
      </c>
      <c r="D30" t="s">
        <v>308</v>
      </c>
      <c r="E30" t="s">
        <v>267</v>
      </c>
      <c r="F30" t="s">
        <v>130</v>
      </c>
      <c r="G30">
        <v>80349</v>
      </c>
      <c r="H30" s="147">
        <v>37</v>
      </c>
      <c r="I30" s="147">
        <v>2985.58</v>
      </c>
      <c r="J30" s="147">
        <v>74000</v>
      </c>
      <c r="K30" s="147">
        <f t="shared" si="0"/>
        <v>74000</v>
      </c>
    </row>
    <row r="31" spans="1:11" x14ac:dyDescent="0.25">
      <c r="A31">
        <v>30</v>
      </c>
      <c r="B31">
        <v>1695</v>
      </c>
      <c r="C31" t="s">
        <v>309</v>
      </c>
      <c r="D31" t="s">
        <v>310</v>
      </c>
      <c r="E31" t="s">
        <v>2</v>
      </c>
      <c r="F31" t="s">
        <v>34</v>
      </c>
      <c r="G31">
        <v>81200</v>
      </c>
      <c r="H31" s="147">
        <v>109</v>
      </c>
      <c r="I31" s="147">
        <v>14210.57</v>
      </c>
      <c r="J31" s="147">
        <v>218000</v>
      </c>
      <c r="K31" s="147">
        <f t="shared" si="0"/>
        <v>218000</v>
      </c>
    </row>
    <row r="32" spans="1:11" x14ac:dyDescent="0.25">
      <c r="A32">
        <v>33</v>
      </c>
      <c r="B32">
        <v>1701</v>
      </c>
      <c r="C32" t="s">
        <v>268</v>
      </c>
      <c r="D32" t="s">
        <v>311</v>
      </c>
      <c r="E32" t="s">
        <v>312</v>
      </c>
      <c r="F32" t="s">
        <v>49</v>
      </c>
      <c r="G32">
        <v>80950</v>
      </c>
      <c r="H32" s="147">
        <v>106</v>
      </c>
      <c r="I32" s="147">
        <v>4809.9799999999996</v>
      </c>
      <c r="J32" s="147">
        <v>212000</v>
      </c>
      <c r="K32" s="147">
        <f t="shared" si="0"/>
        <v>212000</v>
      </c>
    </row>
    <row r="33" spans="1:11" x14ac:dyDescent="0.25">
      <c r="A33">
        <v>31</v>
      </c>
      <c r="B33">
        <v>1701</v>
      </c>
      <c r="C33" t="s">
        <v>313</v>
      </c>
      <c r="D33" t="s">
        <v>311</v>
      </c>
      <c r="E33" t="s">
        <v>312</v>
      </c>
      <c r="F33" t="s">
        <v>49</v>
      </c>
      <c r="G33">
        <v>80950</v>
      </c>
      <c r="H33" s="147">
        <v>106</v>
      </c>
      <c r="I33" s="147">
        <v>4809.9799999999996</v>
      </c>
      <c r="J33" s="147">
        <v>212000</v>
      </c>
      <c r="K33" s="147">
        <f t="shared" si="0"/>
        <v>212000</v>
      </c>
    </row>
    <row r="34" spans="1:11" x14ac:dyDescent="0.25">
      <c r="A34">
        <v>32</v>
      </c>
      <c r="B34">
        <v>1701</v>
      </c>
      <c r="C34" t="s">
        <v>314</v>
      </c>
      <c r="D34" t="s">
        <v>311</v>
      </c>
      <c r="E34" t="s">
        <v>312</v>
      </c>
      <c r="F34" t="s">
        <v>49</v>
      </c>
      <c r="G34">
        <v>80950</v>
      </c>
      <c r="H34" s="147">
        <v>106</v>
      </c>
      <c r="I34" s="147">
        <v>4809.9799999999996</v>
      </c>
      <c r="J34" s="147">
        <v>212000</v>
      </c>
      <c r="K34" s="147">
        <f t="shared" si="0"/>
        <v>212000</v>
      </c>
    </row>
    <row r="35" spans="1:11" x14ac:dyDescent="0.25">
      <c r="A35">
        <v>34</v>
      </c>
      <c r="B35">
        <v>1728</v>
      </c>
      <c r="C35" t="s">
        <v>315</v>
      </c>
      <c r="D35" t="s">
        <v>316</v>
      </c>
      <c r="E35" t="s">
        <v>4</v>
      </c>
      <c r="F35" t="s">
        <v>4</v>
      </c>
      <c r="G35">
        <v>81000</v>
      </c>
      <c r="H35" s="147">
        <v>783.75</v>
      </c>
      <c r="I35" s="147">
        <v>3939.5</v>
      </c>
      <c r="J35" s="147">
        <v>1567500</v>
      </c>
      <c r="K35" s="147">
        <f t="shared" si="0"/>
        <v>1567500</v>
      </c>
    </row>
    <row r="36" spans="1:11" x14ac:dyDescent="0.25">
      <c r="A36">
        <v>35</v>
      </c>
      <c r="B36">
        <v>1734</v>
      </c>
      <c r="C36" t="s">
        <v>317</v>
      </c>
      <c r="D36" t="s">
        <v>128</v>
      </c>
      <c r="E36" t="s">
        <v>318</v>
      </c>
      <c r="F36" t="s">
        <v>189</v>
      </c>
      <c r="G36">
        <v>80400</v>
      </c>
      <c r="H36" s="147">
        <v>310</v>
      </c>
      <c r="I36" s="147">
        <v>2700.08</v>
      </c>
      <c r="J36" s="147">
        <v>620000</v>
      </c>
      <c r="K36" s="147">
        <f t="shared" si="0"/>
        <v>620000</v>
      </c>
    </row>
    <row r="37" spans="1:11" x14ac:dyDescent="0.25">
      <c r="A37">
        <v>36</v>
      </c>
      <c r="B37">
        <v>1736</v>
      </c>
      <c r="C37" t="s">
        <v>319</v>
      </c>
      <c r="D37" t="s">
        <v>320</v>
      </c>
      <c r="E37" t="s">
        <v>261</v>
      </c>
      <c r="F37" t="s">
        <v>262</v>
      </c>
      <c r="G37">
        <v>82700</v>
      </c>
      <c r="H37" s="147">
        <v>108</v>
      </c>
      <c r="I37" s="147">
        <v>7028.76</v>
      </c>
      <c r="J37" s="147">
        <v>216000</v>
      </c>
      <c r="K37" s="147">
        <f t="shared" si="0"/>
        <v>216000</v>
      </c>
    </row>
    <row r="38" spans="1:11" x14ac:dyDescent="0.25">
      <c r="A38">
        <v>37</v>
      </c>
      <c r="B38">
        <v>1755</v>
      </c>
      <c r="C38" t="s">
        <v>321</v>
      </c>
      <c r="D38" t="s">
        <v>322</v>
      </c>
      <c r="E38" t="s">
        <v>2</v>
      </c>
      <c r="F38" t="s">
        <v>34</v>
      </c>
      <c r="G38">
        <v>81270</v>
      </c>
      <c r="H38" s="147">
        <v>60.75</v>
      </c>
      <c r="I38" s="147">
        <v>6064.79</v>
      </c>
      <c r="J38" s="147">
        <v>121500</v>
      </c>
      <c r="K38" s="147">
        <f t="shared" si="0"/>
        <v>121500</v>
      </c>
    </row>
    <row r="39" spans="1:11" x14ac:dyDescent="0.25">
      <c r="A39">
        <v>38</v>
      </c>
      <c r="B39">
        <v>1767</v>
      </c>
      <c r="C39" t="s">
        <v>323</v>
      </c>
      <c r="D39" t="s">
        <v>324</v>
      </c>
      <c r="E39" t="s">
        <v>41</v>
      </c>
      <c r="F39" t="s">
        <v>101</v>
      </c>
      <c r="G39">
        <v>82017</v>
      </c>
      <c r="H39" s="147">
        <v>120</v>
      </c>
      <c r="I39" s="147">
        <v>17111.93</v>
      </c>
      <c r="J39" s="147">
        <v>240000</v>
      </c>
      <c r="K39" s="147">
        <f t="shared" si="0"/>
        <v>240000</v>
      </c>
    </row>
    <row r="40" spans="1:11" x14ac:dyDescent="0.25">
      <c r="A40">
        <v>39</v>
      </c>
      <c r="B40">
        <v>1768</v>
      </c>
      <c r="C40" t="s">
        <v>129</v>
      </c>
      <c r="D40" t="s">
        <v>325</v>
      </c>
      <c r="E40" t="s">
        <v>41</v>
      </c>
      <c r="F40" t="s">
        <v>101</v>
      </c>
      <c r="G40">
        <v>82017</v>
      </c>
      <c r="H40" s="147">
        <v>120</v>
      </c>
      <c r="I40" s="147">
        <v>14532.44</v>
      </c>
      <c r="J40" s="147">
        <v>240000</v>
      </c>
      <c r="K40" s="147">
        <f t="shared" si="0"/>
        <v>240000</v>
      </c>
    </row>
    <row r="41" spans="1:11" x14ac:dyDescent="0.25">
      <c r="A41">
        <v>40</v>
      </c>
      <c r="B41">
        <v>1776</v>
      </c>
      <c r="C41" t="s">
        <v>326</v>
      </c>
      <c r="D41" t="s">
        <v>327</v>
      </c>
      <c r="E41" t="s">
        <v>41</v>
      </c>
      <c r="F41" t="s">
        <v>101</v>
      </c>
      <c r="G41">
        <v>82016</v>
      </c>
      <c r="H41" s="147">
        <v>244</v>
      </c>
      <c r="I41" s="147">
        <v>27019.91</v>
      </c>
      <c r="J41" s="147">
        <v>488000</v>
      </c>
      <c r="K41" s="147">
        <f t="shared" si="0"/>
        <v>488000</v>
      </c>
    </row>
    <row r="42" spans="1:11" x14ac:dyDescent="0.25">
      <c r="A42">
        <v>41</v>
      </c>
      <c r="B42">
        <v>1812</v>
      </c>
      <c r="C42" t="s">
        <v>328</v>
      </c>
      <c r="D42" t="s">
        <v>329</v>
      </c>
      <c r="E42" t="s">
        <v>4</v>
      </c>
      <c r="F42" t="s">
        <v>4</v>
      </c>
      <c r="G42">
        <v>81000</v>
      </c>
      <c r="H42" s="147">
        <v>269.27999999999997</v>
      </c>
      <c r="I42" s="147">
        <v>6391.14</v>
      </c>
      <c r="J42" s="147">
        <v>538560</v>
      </c>
      <c r="K42" s="147">
        <f t="shared" si="0"/>
        <v>538560</v>
      </c>
    </row>
    <row r="43" spans="1:11" x14ac:dyDescent="0.25">
      <c r="A43">
        <v>42</v>
      </c>
      <c r="B43">
        <v>1813</v>
      </c>
      <c r="C43" t="s">
        <v>330</v>
      </c>
      <c r="D43" t="s">
        <v>331</v>
      </c>
      <c r="E43" t="s">
        <v>4</v>
      </c>
      <c r="F43" t="s">
        <v>4</v>
      </c>
      <c r="G43">
        <v>81077</v>
      </c>
      <c r="H43" s="147">
        <v>60</v>
      </c>
      <c r="I43" s="147">
        <v>11874.57</v>
      </c>
      <c r="J43" s="147">
        <v>120000</v>
      </c>
      <c r="K43" s="147">
        <f t="shared" si="0"/>
        <v>120000</v>
      </c>
    </row>
    <row r="44" spans="1:11" x14ac:dyDescent="0.25">
      <c r="A44">
        <v>43</v>
      </c>
      <c r="B44">
        <v>1814</v>
      </c>
      <c r="C44" t="s">
        <v>332</v>
      </c>
      <c r="D44" t="s">
        <v>333</v>
      </c>
      <c r="E44" t="s">
        <v>41</v>
      </c>
      <c r="F44" t="s">
        <v>101</v>
      </c>
      <c r="G44">
        <v>82017</v>
      </c>
      <c r="H44" s="147">
        <v>231.02</v>
      </c>
      <c r="I44" s="147">
        <v>32662.21</v>
      </c>
      <c r="J44" s="147">
        <v>462040</v>
      </c>
      <c r="K44" s="147">
        <f t="shared" si="0"/>
        <v>462040</v>
      </c>
    </row>
    <row r="45" spans="1:11" x14ac:dyDescent="0.25">
      <c r="A45">
        <v>44</v>
      </c>
      <c r="B45">
        <v>1842</v>
      </c>
      <c r="C45" t="s">
        <v>330</v>
      </c>
      <c r="D45" t="s">
        <v>334</v>
      </c>
      <c r="E45" t="s">
        <v>273</v>
      </c>
      <c r="F45" t="s">
        <v>5</v>
      </c>
      <c r="G45">
        <v>80060</v>
      </c>
      <c r="H45" s="147">
        <v>290.54000000000002</v>
      </c>
      <c r="I45" s="147">
        <v>27136.35</v>
      </c>
      <c r="J45" s="147">
        <v>581080</v>
      </c>
      <c r="K45" s="147">
        <f t="shared" si="0"/>
        <v>581080</v>
      </c>
    </row>
    <row r="46" spans="1:11" x14ac:dyDescent="0.25">
      <c r="A46">
        <v>45</v>
      </c>
      <c r="B46">
        <v>1843</v>
      </c>
      <c r="C46" t="s">
        <v>335</v>
      </c>
      <c r="D46" t="s">
        <v>336</v>
      </c>
      <c r="E46" t="s">
        <v>41</v>
      </c>
      <c r="F46" t="s">
        <v>101</v>
      </c>
      <c r="G46">
        <v>82010</v>
      </c>
      <c r="H46" s="147">
        <v>125.85</v>
      </c>
      <c r="I46" s="147">
        <v>11632.87</v>
      </c>
      <c r="J46" s="147">
        <v>251700</v>
      </c>
      <c r="K46" s="147">
        <f t="shared" si="0"/>
        <v>251700</v>
      </c>
    </row>
    <row r="47" spans="1:11" x14ac:dyDescent="0.25">
      <c r="A47">
        <v>46</v>
      </c>
      <c r="B47">
        <v>1846</v>
      </c>
      <c r="C47" t="s">
        <v>337</v>
      </c>
      <c r="D47" t="s">
        <v>338</v>
      </c>
      <c r="E47" t="s">
        <v>130</v>
      </c>
      <c r="F47" t="s">
        <v>130</v>
      </c>
      <c r="G47">
        <v>80324</v>
      </c>
      <c r="H47" s="147">
        <v>126</v>
      </c>
      <c r="I47" s="147">
        <v>2319.34</v>
      </c>
      <c r="J47" s="147">
        <v>252000</v>
      </c>
      <c r="K47" s="147">
        <f t="shared" si="0"/>
        <v>252000</v>
      </c>
    </row>
    <row r="48" spans="1:11" x14ac:dyDescent="0.25">
      <c r="A48">
        <v>47</v>
      </c>
      <c r="B48">
        <v>1847</v>
      </c>
      <c r="C48" t="s">
        <v>339</v>
      </c>
      <c r="D48" t="s">
        <v>340</v>
      </c>
      <c r="E48" t="s">
        <v>50</v>
      </c>
      <c r="F48" t="s">
        <v>50</v>
      </c>
      <c r="G48">
        <v>82000</v>
      </c>
      <c r="H48" s="147">
        <v>200</v>
      </c>
      <c r="I48" s="147">
        <v>33847.06</v>
      </c>
      <c r="J48" s="147">
        <v>400000</v>
      </c>
      <c r="K48" s="147">
        <f t="shared" si="0"/>
        <v>400000</v>
      </c>
    </row>
    <row r="49" spans="1:11" x14ac:dyDescent="0.25">
      <c r="A49">
        <v>48</v>
      </c>
      <c r="B49">
        <v>1866</v>
      </c>
      <c r="C49" t="s">
        <v>341</v>
      </c>
      <c r="D49" t="s">
        <v>342</v>
      </c>
      <c r="E49" t="s">
        <v>2</v>
      </c>
      <c r="F49" t="s">
        <v>34</v>
      </c>
      <c r="G49">
        <v>81259</v>
      </c>
      <c r="H49" s="147">
        <v>218</v>
      </c>
      <c r="I49" s="147">
        <v>9680.16</v>
      </c>
      <c r="J49" s="147">
        <v>436000</v>
      </c>
      <c r="K49" s="147">
        <f t="shared" si="0"/>
        <v>436000</v>
      </c>
    </row>
    <row r="50" spans="1:11" x14ac:dyDescent="0.25">
      <c r="A50">
        <v>49</v>
      </c>
      <c r="B50">
        <v>1868</v>
      </c>
      <c r="C50" t="s">
        <v>343</v>
      </c>
      <c r="D50" t="s">
        <v>344</v>
      </c>
      <c r="E50" t="s">
        <v>2</v>
      </c>
      <c r="F50" t="s">
        <v>34</v>
      </c>
      <c r="G50">
        <v>81254</v>
      </c>
      <c r="H50" s="147">
        <v>839.66</v>
      </c>
      <c r="I50" s="147">
        <v>26200.98</v>
      </c>
      <c r="J50" s="147">
        <v>1679320</v>
      </c>
      <c r="K50" s="147">
        <f t="shared" si="0"/>
        <v>1679320</v>
      </c>
    </row>
    <row r="51" spans="1:11" x14ac:dyDescent="0.25">
      <c r="A51">
        <v>50</v>
      </c>
      <c r="B51">
        <v>1876</v>
      </c>
      <c r="C51" t="s">
        <v>345</v>
      </c>
      <c r="D51" t="s">
        <v>346</v>
      </c>
      <c r="E51" t="s">
        <v>347</v>
      </c>
      <c r="F51" t="s">
        <v>101</v>
      </c>
      <c r="G51">
        <v>82210</v>
      </c>
      <c r="H51" s="147">
        <v>107.62</v>
      </c>
      <c r="I51" s="147">
        <v>4270.1400000000003</v>
      </c>
      <c r="J51" s="147">
        <v>215240</v>
      </c>
      <c r="K51" s="147">
        <f t="shared" si="0"/>
        <v>215240</v>
      </c>
    </row>
    <row r="52" spans="1:11" x14ac:dyDescent="0.25">
      <c r="A52">
        <v>51</v>
      </c>
      <c r="B52">
        <v>1878</v>
      </c>
      <c r="C52" t="s">
        <v>348</v>
      </c>
      <c r="D52" t="s">
        <v>349</v>
      </c>
      <c r="E52" t="s">
        <v>273</v>
      </c>
      <c r="F52" t="s">
        <v>5</v>
      </c>
      <c r="G52">
        <v>80020</v>
      </c>
      <c r="H52" s="147">
        <v>360.69</v>
      </c>
      <c r="I52" s="147">
        <v>60447.47</v>
      </c>
      <c r="J52" s="147">
        <v>721380</v>
      </c>
      <c r="K52" s="147">
        <f t="shared" si="0"/>
        <v>721380</v>
      </c>
    </row>
    <row r="53" spans="1:11" x14ac:dyDescent="0.25">
      <c r="A53">
        <v>52</v>
      </c>
      <c r="B53">
        <v>1884</v>
      </c>
      <c r="C53" t="s">
        <v>350</v>
      </c>
      <c r="D53" t="s">
        <v>351</v>
      </c>
      <c r="E53" t="s">
        <v>41</v>
      </c>
      <c r="F53" t="s">
        <v>101</v>
      </c>
      <c r="G53">
        <v>82148</v>
      </c>
      <c r="H53" s="147">
        <v>2750</v>
      </c>
      <c r="I53" s="147">
        <v>312306.8</v>
      </c>
      <c r="J53" s="147">
        <v>5500000</v>
      </c>
      <c r="K53" s="147">
        <f t="shared" si="0"/>
        <v>5500000</v>
      </c>
    </row>
    <row r="54" spans="1:11" x14ac:dyDescent="0.25">
      <c r="A54">
        <v>53</v>
      </c>
      <c r="B54">
        <v>1885</v>
      </c>
      <c r="C54" t="s">
        <v>352</v>
      </c>
      <c r="D54" t="s">
        <v>353</v>
      </c>
      <c r="E54" t="s">
        <v>2</v>
      </c>
      <c r="F54" t="s">
        <v>34</v>
      </c>
      <c r="G54">
        <v>81260</v>
      </c>
      <c r="H54" s="147">
        <v>62.5</v>
      </c>
      <c r="I54" s="147">
        <v>8353.14</v>
      </c>
      <c r="J54" s="147">
        <v>125000</v>
      </c>
      <c r="K54" s="147">
        <f t="shared" si="0"/>
        <v>125000</v>
      </c>
    </row>
    <row r="55" spans="1:11" x14ac:dyDescent="0.25">
      <c r="A55">
        <v>54</v>
      </c>
      <c r="B55">
        <v>1896</v>
      </c>
      <c r="C55" t="s">
        <v>354</v>
      </c>
      <c r="D55" t="s">
        <v>355</v>
      </c>
      <c r="E55" t="s">
        <v>273</v>
      </c>
      <c r="F55" t="s">
        <v>5</v>
      </c>
      <c r="G55">
        <v>80000</v>
      </c>
      <c r="H55" s="147">
        <v>600</v>
      </c>
      <c r="I55" s="147">
        <v>27426.82</v>
      </c>
      <c r="J55" s="147">
        <v>1200000</v>
      </c>
      <c r="K55" s="147">
        <f t="shared" si="0"/>
        <v>1200000</v>
      </c>
    </row>
    <row r="56" spans="1:11" x14ac:dyDescent="0.25">
      <c r="A56">
        <v>55</v>
      </c>
      <c r="B56">
        <v>1897</v>
      </c>
      <c r="C56" t="s">
        <v>356</v>
      </c>
      <c r="D56" t="s">
        <v>357</v>
      </c>
      <c r="E56" t="s">
        <v>41</v>
      </c>
      <c r="F56" t="s">
        <v>101</v>
      </c>
      <c r="G56">
        <v>82138</v>
      </c>
      <c r="H56" s="147">
        <v>60.75</v>
      </c>
      <c r="I56" s="147">
        <v>8167.46</v>
      </c>
      <c r="J56" s="147">
        <v>121500</v>
      </c>
      <c r="K56" s="147">
        <f t="shared" si="0"/>
        <v>121500</v>
      </c>
    </row>
    <row r="57" spans="1:11" x14ac:dyDescent="0.25">
      <c r="A57">
        <v>56</v>
      </c>
      <c r="B57">
        <v>1898</v>
      </c>
      <c r="C57" t="s">
        <v>358</v>
      </c>
      <c r="D57" t="s">
        <v>359</v>
      </c>
      <c r="E57" t="s">
        <v>41</v>
      </c>
      <c r="F57" t="s">
        <v>101</v>
      </c>
      <c r="G57">
        <v>82010</v>
      </c>
      <c r="H57" s="147">
        <v>60</v>
      </c>
      <c r="I57" s="147">
        <v>8448.1200000000008</v>
      </c>
      <c r="J57" s="147">
        <v>120000</v>
      </c>
      <c r="K57" s="147">
        <f t="shared" si="0"/>
        <v>120000</v>
      </c>
    </row>
    <row r="58" spans="1:11" x14ac:dyDescent="0.25">
      <c r="A58">
        <v>57</v>
      </c>
      <c r="B58">
        <v>1907</v>
      </c>
      <c r="C58" t="s">
        <v>360</v>
      </c>
      <c r="D58" t="s">
        <v>361</v>
      </c>
      <c r="E58" t="s">
        <v>273</v>
      </c>
      <c r="F58" t="s">
        <v>5</v>
      </c>
      <c r="G58">
        <v>80000</v>
      </c>
      <c r="H58" s="147">
        <v>40.5</v>
      </c>
      <c r="I58" s="147">
        <v>5402.7</v>
      </c>
      <c r="J58" s="147">
        <v>81000</v>
      </c>
      <c r="K58" s="147">
        <f t="shared" si="0"/>
        <v>81000</v>
      </c>
    </row>
    <row r="59" spans="1:11" x14ac:dyDescent="0.25">
      <c r="A59">
        <v>58</v>
      </c>
      <c r="B59">
        <v>1909</v>
      </c>
      <c r="C59" t="s">
        <v>362</v>
      </c>
      <c r="D59" t="s">
        <v>363</v>
      </c>
      <c r="E59" t="s">
        <v>11</v>
      </c>
      <c r="F59" t="s">
        <v>11</v>
      </c>
      <c r="G59">
        <v>82180</v>
      </c>
      <c r="H59" s="147">
        <v>61.05</v>
      </c>
      <c r="I59" s="147">
        <v>3747.33</v>
      </c>
      <c r="J59" s="147">
        <v>122100</v>
      </c>
      <c r="K59" s="147">
        <f t="shared" si="0"/>
        <v>122100</v>
      </c>
    </row>
    <row r="60" spans="1:11" x14ac:dyDescent="0.25">
      <c r="A60">
        <v>61</v>
      </c>
      <c r="B60">
        <v>1916</v>
      </c>
      <c r="C60" t="s">
        <v>364</v>
      </c>
      <c r="D60" t="s">
        <v>365</v>
      </c>
      <c r="E60" t="s">
        <v>126</v>
      </c>
      <c r="F60" t="s">
        <v>126</v>
      </c>
      <c r="G60">
        <v>81802</v>
      </c>
      <c r="H60" s="147">
        <v>133.81</v>
      </c>
      <c r="I60" s="147">
        <v>15522.52</v>
      </c>
      <c r="J60" s="147">
        <v>267620</v>
      </c>
      <c r="K60" s="147">
        <f t="shared" si="0"/>
        <v>267620</v>
      </c>
    </row>
    <row r="61" spans="1:11" x14ac:dyDescent="0.25">
      <c r="A61">
        <v>59</v>
      </c>
      <c r="B61">
        <v>1916</v>
      </c>
      <c r="C61" t="s">
        <v>366</v>
      </c>
      <c r="D61" t="s">
        <v>365</v>
      </c>
      <c r="E61" t="s">
        <v>126</v>
      </c>
      <c r="F61" t="s">
        <v>126</v>
      </c>
      <c r="G61">
        <v>81802</v>
      </c>
      <c r="H61" s="147">
        <v>116.06</v>
      </c>
      <c r="I61" s="147">
        <v>13463.44</v>
      </c>
      <c r="J61" s="147">
        <v>232120</v>
      </c>
      <c r="K61" s="147">
        <f t="shared" si="0"/>
        <v>232120</v>
      </c>
    </row>
    <row r="62" spans="1:11" x14ac:dyDescent="0.25">
      <c r="A62">
        <v>60</v>
      </c>
      <c r="B62">
        <v>1916</v>
      </c>
      <c r="C62" t="s">
        <v>367</v>
      </c>
      <c r="D62" t="s">
        <v>365</v>
      </c>
      <c r="E62" t="s">
        <v>126</v>
      </c>
      <c r="F62" t="s">
        <v>126</v>
      </c>
      <c r="G62">
        <v>81802</v>
      </c>
      <c r="H62" s="147">
        <v>105.36</v>
      </c>
      <c r="I62" s="147">
        <v>12222.2</v>
      </c>
      <c r="J62" s="147">
        <v>210720</v>
      </c>
      <c r="K62" s="147">
        <f t="shared" si="0"/>
        <v>210720</v>
      </c>
    </row>
    <row r="63" spans="1:11" x14ac:dyDescent="0.25">
      <c r="A63">
        <v>62</v>
      </c>
      <c r="B63">
        <v>1920</v>
      </c>
      <c r="C63" t="s">
        <v>368</v>
      </c>
      <c r="D63" t="s">
        <v>369</v>
      </c>
      <c r="E63" t="s">
        <v>273</v>
      </c>
      <c r="F63" t="s">
        <v>5</v>
      </c>
      <c r="G63">
        <v>80000</v>
      </c>
      <c r="H63" s="147">
        <v>150</v>
      </c>
      <c r="I63" s="147">
        <v>17545</v>
      </c>
      <c r="J63" s="147">
        <v>300000</v>
      </c>
      <c r="K63" s="147">
        <f t="shared" si="0"/>
        <v>300000</v>
      </c>
    </row>
    <row r="64" spans="1:11" x14ac:dyDescent="0.25">
      <c r="A64">
        <v>63</v>
      </c>
      <c r="B64">
        <v>1925</v>
      </c>
      <c r="C64" t="s">
        <v>370</v>
      </c>
      <c r="D64" t="s">
        <v>371</v>
      </c>
      <c r="E64" t="s">
        <v>2</v>
      </c>
      <c r="F64" t="s">
        <v>34</v>
      </c>
      <c r="G64">
        <v>81200</v>
      </c>
      <c r="H64" s="147">
        <v>54</v>
      </c>
      <c r="I64" s="147">
        <v>9709.66</v>
      </c>
      <c r="J64" s="147">
        <v>108000</v>
      </c>
      <c r="K64" s="147">
        <f t="shared" si="0"/>
        <v>108000</v>
      </c>
    </row>
    <row r="65" spans="1:11" x14ac:dyDescent="0.25">
      <c r="A65">
        <v>64</v>
      </c>
      <c r="B65">
        <v>1926</v>
      </c>
      <c r="C65" t="s">
        <v>372</v>
      </c>
      <c r="D65" t="s">
        <v>373</v>
      </c>
      <c r="E65" t="s">
        <v>2</v>
      </c>
      <c r="F65" t="s">
        <v>34</v>
      </c>
      <c r="G65">
        <v>81280</v>
      </c>
      <c r="H65" s="147">
        <v>108</v>
      </c>
      <c r="I65" s="147">
        <v>16904.240000000002</v>
      </c>
      <c r="J65" s="147">
        <v>216000</v>
      </c>
      <c r="K65" s="147">
        <f t="shared" si="0"/>
        <v>216000</v>
      </c>
    </row>
    <row r="66" spans="1:11" x14ac:dyDescent="0.25">
      <c r="A66">
        <v>65</v>
      </c>
      <c r="B66">
        <v>1928</v>
      </c>
      <c r="C66" t="s">
        <v>374</v>
      </c>
      <c r="D66" t="s">
        <v>375</v>
      </c>
      <c r="E66" t="s">
        <v>126</v>
      </c>
      <c r="F66" t="s">
        <v>126</v>
      </c>
      <c r="G66">
        <v>81891</v>
      </c>
      <c r="H66" s="147">
        <v>126.06</v>
      </c>
      <c r="I66" s="147">
        <v>2634.94</v>
      </c>
      <c r="J66" s="147">
        <v>252120</v>
      </c>
      <c r="K66" s="147">
        <f t="shared" si="0"/>
        <v>252120</v>
      </c>
    </row>
    <row r="67" spans="1:11" x14ac:dyDescent="0.25">
      <c r="A67">
        <v>66</v>
      </c>
      <c r="B67">
        <v>1937</v>
      </c>
      <c r="C67" t="s">
        <v>376</v>
      </c>
      <c r="D67" t="s">
        <v>377</v>
      </c>
      <c r="E67" t="s">
        <v>273</v>
      </c>
      <c r="F67" t="s">
        <v>5</v>
      </c>
      <c r="G67">
        <v>80080</v>
      </c>
      <c r="H67" s="147">
        <v>1386.84</v>
      </c>
      <c r="I67" s="147">
        <v>83348.53</v>
      </c>
      <c r="J67" s="147">
        <v>2773680</v>
      </c>
      <c r="K67" s="147">
        <f t="shared" ref="K67:K124" si="1">(H67*8000)*0.25</f>
        <v>2773680</v>
      </c>
    </row>
    <row r="68" spans="1:11" x14ac:dyDescent="0.25">
      <c r="A68">
        <v>67</v>
      </c>
      <c r="B68">
        <v>1940</v>
      </c>
      <c r="C68" t="s">
        <v>378</v>
      </c>
      <c r="D68" t="s">
        <v>379</v>
      </c>
      <c r="E68" t="s">
        <v>41</v>
      </c>
      <c r="F68" t="s">
        <v>101</v>
      </c>
      <c r="G68">
        <v>82124</v>
      </c>
      <c r="H68" s="147">
        <v>115.65</v>
      </c>
      <c r="I68" s="147">
        <v>35106.269999999997</v>
      </c>
      <c r="J68" s="147">
        <v>231300</v>
      </c>
      <c r="K68" s="147">
        <f t="shared" si="1"/>
        <v>231300</v>
      </c>
    </row>
    <row r="69" spans="1:11" x14ac:dyDescent="0.25">
      <c r="A69">
        <v>68</v>
      </c>
      <c r="B69">
        <v>1944</v>
      </c>
      <c r="C69" t="s">
        <v>380</v>
      </c>
      <c r="D69" t="s">
        <v>381</v>
      </c>
      <c r="E69" t="s">
        <v>34</v>
      </c>
      <c r="F69" t="s">
        <v>34</v>
      </c>
      <c r="G69">
        <v>91340</v>
      </c>
      <c r="H69" s="147">
        <v>58.86</v>
      </c>
      <c r="I69" s="147">
        <v>2884.43</v>
      </c>
      <c r="J69" s="147">
        <v>117720</v>
      </c>
      <c r="K69" s="147">
        <f t="shared" si="1"/>
        <v>117720</v>
      </c>
    </row>
    <row r="70" spans="1:11" x14ac:dyDescent="0.25">
      <c r="A70">
        <v>69</v>
      </c>
      <c r="B70">
        <v>1945</v>
      </c>
      <c r="C70" t="s">
        <v>382</v>
      </c>
      <c r="D70" t="s">
        <v>383</v>
      </c>
      <c r="E70" t="s">
        <v>2</v>
      </c>
      <c r="F70" t="s">
        <v>34</v>
      </c>
      <c r="G70">
        <v>81369</v>
      </c>
      <c r="H70" s="147">
        <v>125.58</v>
      </c>
      <c r="I70" s="147">
        <v>17400</v>
      </c>
      <c r="J70" s="147">
        <v>251160</v>
      </c>
      <c r="K70" s="147">
        <f t="shared" si="1"/>
        <v>251160</v>
      </c>
    </row>
    <row r="71" spans="1:11" x14ac:dyDescent="0.25">
      <c r="A71">
        <v>70</v>
      </c>
      <c r="B71">
        <v>1946</v>
      </c>
      <c r="C71" t="s">
        <v>384</v>
      </c>
      <c r="D71" t="s">
        <v>385</v>
      </c>
      <c r="E71" t="s">
        <v>130</v>
      </c>
      <c r="F71" t="s">
        <v>130</v>
      </c>
      <c r="G71">
        <v>80320</v>
      </c>
      <c r="H71" s="147">
        <v>591.02</v>
      </c>
      <c r="I71" s="147">
        <v>68054.64</v>
      </c>
      <c r="J71" s="147">
        <v>1182040</v>
      </c>
      <c r="K71" s="147">
        <f t="shared" si="1"/>
        <v>1182040</v>
      </c>
    </row>
    <row r="72" spans="1:11" x14ac:dyDescent="0.25">
      <c r="A72">
        <v>71</v>
      </c>
      <c r="B72">
        <v>1946</v>
      </c>
      <c r="C72" t="s">
        <v>314</v>
      </c>
      <c r="D72" t="s">
        <v>385</v>
      </c>
      <c r="E72" t="s">
        <v>130</v>
      </c>
      <c r="F72" t="s">
        <v>130</v>
      </c>
      <c r="G72">
        <v>80320</v>
      </c>
      <c r="H72" s="147">
        <v>591.02</v>
      </c>
      <c r="I72" s="147">
        <v>68054.64</v>
      </c>
      <c r="J72" s="147">
        <v>1182040</v>
      </c>
      <c r="K72" s="147">
        <f t="shared" si="1"/>
        <v>1182040</v>
      </c>
    </row>
    <row r="73" spans="1:11" x14ac:dyDescent="0.25">
      <c r="A73">
        <v>72</v>
      </c>
      <c r="B73">
        <v>1946</v>
      </c>
      <c r="C73" t="s">
        <v>386</v>
      </c>
      <c r="D73" t="s">
        <v>385</v>
      </c>
      <c r="E73" t="s">
        <v>130</v>
      </c>
      <c r="F73" t="s">
        <v>130</v>
      </c>
      <c r="G73">
        <v>80320</v>
      </c>
      <c r="H73" s="147">
        <v>591.02</v>
      </c>
      <c r="I73" s="147">
        <v>68054.64</v>
      </c>
      <c r="J73" s="147">
        <v>1182040</v>
      </c>
      <c r="K73" s="147">
        <f t="shared" si="1"/>
        <v>1182040</v>
      </c>
    </row>
    <row r="74" spans="1:11" x14ac:dyDescent="0.25">
      <c r="A74">
        <v>73</v>
      </c>
      <c r="B74">
        <v>1946</v>
      </c>
      <c r="C74" t="s">
        <v>387</v>
      </c>
      <c r="D74" t="s">
        <v>385</v>
      </c>
      <c r="E74" t="s">
        <v>130</v>
      </c>
      <c r="F74" t="s">
        <v>130</v>
      </c>
      <c r="G74">
        <v>80320</v>
      </c>
      <c r="H74" s="147">
        <v>591.02</v>
      </c>
      <c r="I74" s="147">
        <v>68054.64</v>
      </c>
      <c r="J74" s="147">
        <v>1182040</v>
      </c>
      <c r="K74" s="147">
        <f t="shared" si="1"/>
        <v>1182040</v>
      </c>
    </row>
    <row r="75" spans="1:11" x14ac:dyDescent="0.25">
      <c r="A75">
        <v>74</v>
      </c>
      <c r="B75">
        <v>1946</v>
      </c>
      <c r="C75" t="s">
        <v>388</v>
      </c>
      <c r="D75" t="s">
        <v>385</v>
      </c>
      <c r="E75" t="s">
        <v>130</v>
      </c>
      <c r="F75" t="s">
        <v>130</v>
      </c>
      <c r="G75">
        <v>80320</v>
      </c>
      <c r="H75" s="147">
        <v>591.02</v>
      </c>
      <c r="I75" s="147">
        <v>68054.64</v>
      </c>
      <c r="J75" s="147">
        <v>1182040</v>
      </c>
      <c r="K75" s="147">
        <f t="shared" si="1"/>
        <v>1182040</v>
      </c>
    </row>
    <row r="76" spans="1:11" x14ac:dyDescent="0.25">
      <c r="A76">
        <v>75</v>
      </c>
      <c r="B76">
        <v>1947</v>
      </c>
      <c r="C76" t="s">
        <v>389</v>
      </c>
      <c r="D76" t="s">
        <v>131</v>
      </c>
      <c r="E76" t="s">
        <v>2</v>
      </c>
      <c r="F76" t="s">
        <v>34</v>
      </c>
      <c r="G76">
        <v>81280</v>
      </c>
      <c r="H76" s="147">
        <v>54</v>
      </c>
      <c r="I76" s="147">
        <v>8452.1</v>
      </c>
      <c r="J76" s="147">
        <v>108000</v>
      </c>
      <c r="K76" s="147">
        <f t="shared" si="1"/>
        <v>108000</v>
      </c>
    </row>
    <row r="77" spans="1:11" x14ac:dyDescent="0.25">
      <c r="A77">
        <v>76</v>
      </c>
      <c r="B77">
        <v>1949</v>
      </c>
      <c r="C77" t="s">
        <v>390</v>
      </c>
      <c r="D77" t="s">
        <v>391</v>
      </c>
      <c r="E77" t="s">
        <v>2</v>
      </c>
      <c r="F77" t="s">
        <v>34</v>
      </c>
      <c r="G77">
        <v>81280</v>
      </c>
      <c r="H77" s="147">
        <v>185.58</v>
      </c>
      <c r="I77" s="147">
        <v>14674</v>
      </c>
      <c r="J77" s="147">
        <v>371160</v>
      </c>
      <c r="K77" s="147">
        <f t="shared" si="1"/>
        <v>371160</v>
      </c>
    </row>
    <row r="78" spans="1:11" x14ac:dyDescent="0.25">
      <c r="A78">
        <v>77</v>
      </c>
      <c r="B78">
        <v>1950</v>
      </c>
      <c r="C78" t="s">
        <v>392</v>
      </c>
      <c r="D78" t="s">
        <v>393</v>
      </c>
      <c r="E78" t="s">
        <v>41</v>
      </c>
      <c r="F78" t="s">
        <v>101</v>
      </c>
      <c r="G78">
        <v>82140</v>
      </c>
      <c r="H78" s="147">
        <v>319.05</v>
      </c>
      <c r="I78" s="147">
        <v>3967.73</v>
      </c>
      <c r="J78" s="147">
        <v>638100</v>
      </c>
      <c r="K78" s="147">
        <f t="shared" si="1"/>
        <v>638100</v>
      </c>
    </row>
    <row r="79" spans="1:11" x14ac:dyDescent="0.25">
      <c r="A79">
        <v>78</v>
      </c>
      <c r="B79">
        <v>1953</v>
      </c>
      <c r="C79" t="s">
        <v>394</v>
      </c>
      <c r="D79" t="s">
        <v>395</v>
      </c>
      <c r="E79" t="s">
        <v>318</v>
      </c>
      <c r="F79" t="s">
        <v>189</v>
      </c>
      <c r="G79">
        <v>81490</v>
      </c>
      <c r="H79" s="147">
        <v>68.599999999999994</v>
      </c>
      <c r="I79" s="147">
        <v>5220</v>
      </c>
      <c r="J79" s="147">
        <v>137200</v>
      </c>
      <c r="K79" s="147">
        <f t="shared" si="1"/>
        <v>137200</v>
      </c>
    </row>
    <row r="80" spans="1:11" x14ac:dyDescent="0.25">
      <c r="A80">
        <v>79</v>
      </c>
      <c r="B80">
        <v>1954</v>
      </c>
      <c r="C80" t="s">
        <v>396</v>
      </c>
      <c r="D80" t="s">
        <v>397</v>
      </c>
      <c r="E80" t="s">
        <v>4</v>
      </c>
      <c r="F80" t="s">
        <v>4</v>
      </c>
      <c r="G80">
        <v>81040</v>
      </c>
      <c r="H80" s="147">
        <v>189</v>
      </c>
      <c r="I80" s="147">
        <v>31295.66</v>
      </c>
      <c r="J80" s="147">
        <v>378000</v>
      </c>
      <c r="K80" s="147">
        <f t="shared" si="1"/>
        <v>378000</v>
      </c>
    </row>
    <row r="81" spans="1:11" x14ac:dyDescent="0.25">
      <c r="A81">
        <v>80</v>
      </c>
      <c r="B81">
        <v>1955</v>
      </c>
      <c r="C81" t="s">
        <v>283</v>
      </c>
      <c r="D81" t="s">
        <v>398</v>
      </c>
      <c r="E81" t="s">
        <v>4</v>
      </c>
      <c r="F81" t="s">
        <v>4</v>
      </c>
      <c r="G81">
        <v>81040</v>
      </c>
      <c r="H81" s="147">
        <v>338</v>
      </c>
      <c r="I81" s="147">
        <v>39986.89</v>
      </c>
      <c r="J81" s="147">
        <v>676000</v>
      </c>
      <c r="K81" s="147">
        <f t="shared" si="1"/>
        <v>676000</v>
      </c>
    </row>
    <row r="82" spans="1:11" x14ac:dyDescent="0.25">
      <c r="A82">
        <v>81</v>
      </c>
      <c r="B82">
        <v>1957</v>
      </c>
      <c r="C82" t="s">
        <v>399</v>
      </c>
      <c r="D82" t="s">
        <v>400</v>
      </c>
      <c r="E82" t="s">
        <v>273</v>
      </c>
      <c r="F82" t="s">
        <v>5</v>
      </c>
      <c r="G82">
        <v>80058</v>
      </c>
      <c r="H82" s="147">
        <v>303</v>
      </c>
      <c r="I82" s="147">
        <v>63586.13</v>
      </c>
      <c r="J82" s="147">
        <v>606000</v>
      </c>
      <c r="K82" s="147">
        <f t="shared" si="1"/>
        <v>606000</v>
      </c>
    </row>
    <row r="83" spans="1:11" x14ac:dyDescent="0.25">
      <c r="A83">
        <v>82</v>
      </c>
      <c r="B83">
        <v>1964</v>
      </c>
      <c r="C83" t="s">
        <v>401</v>
      </c>
      <c r="D83" t="s">
        <v>402</v>
      </c>
      <c r="E83" t="s">
        <v>41</v>
      </c>
      <c r="F83" t="s">
        <v>101</v>
      </c>
      <c r="G83">
        <v>82120</v>
      </c>
      <c r="H83" s="147">
        <v>150</v>
      </c>
      <c r="I83" s="147">
        <v>12011.8</v>
      </c>
      <c r="J83" s="147">
        <v>300000</v>
      </c>
      <c r="K83" s="147">
        <f t="shared" si="1"/>
        <v>300000</v>
      </c>
    </row>
    <row r="84" spans="1:11" x14ac:dyDescent="0.25">
      <c r="A84">
        <v>83</v>
      </c>
      <c r="B84">
        <v>1966</v>
      </c>
      <c r="C84" t="s">
        <v>403</v>
      </c>
      <c r="D84" t="s">
        <v>404</v>
      </c>
      <c r="E84" t="s">
        <v>41</v>
      </c>
      <c r="F84" t="s">
        <v>101</v>
      </c>
      <c r="G84">
        <v>82110</v>
      </c>
      <c r="H84" s="147">
        <v>300</v>
      </c>
      <c r="I84" s="147">
        <v>10092.49</v>
      </c>
      <c r="J84" s="147">
        <v>600000</v>
      </c>
      <c r="K84" s="147">
        <f t="shared" si="1"/>
        <v>600000</v>
      </c>
    </row>
    <row r="85" spans="1:11" x14ac:dyDescent="0.25">
      <c r="A85">
        <v>84</v>
      </c>
      <c r="B85">
        <v>1967</v>
      </c>
      <c r="C85" t="s">
        <v>390</v>
      </c>
      <c r="D85" t="s">
        <v>405</v>
      </c>
      <c r="E85" t="s">
        <v>2</v>
      </c>
      <c r="F85" t="s">
        <v>34</v>
      </c>
      <c r="G85">
        <v>81271</v>
      </c>
      <c r="H85" s="147">
        <v>225</v>
      </c>
      <c r="I85" s="147">
        <v>15080</v>
      </c>
      <c r="J85" s="147">
        <v>450000</v>
      </c>
      <c r="K85" s="147">
        <f t="shared" si="1"/>
        <v>450000</v>
      </c>
    </row>
    <row r="86" spans="1:11" x14ac:dyDescent="0.25">
      <c r="A86">
        <v>85</v>
      </c>
      <c r="B86">
        <v>1970</v>
      </c>
      <c r="C86" t="s">
        <v>406</v>
      </c>
      <c r="D86" t="s">
        <v>407</v>
      </c>
      <c r="E86" t="s">
        <v>41</v>
      </c>
      <c r="F86" t="s">
        <v>101</v>
      </c>
      <c r="G86">
        <v>82010</v>
      </c>
      <c r="H86" s="147">
        <v>120</v>
      </c>
      <c r="I86" s="147">
        <v>7195.78</v>
      </c>
      <c r="J86" s="147">
        <v>240000</v>
      </c>
      <c r="K86" s="147">
        <f t="shared" si="1"/>
        <v>240000</v>
      </c>
    </row>
    <row r="87" spans="1:11" x14ac:dyDescent="0.25">
      <c r="A87">
        <v>86</v>
      </c>
      <c r="B87">
        <v>1970</v>
      </c>
      <c r="C87" t="s">
        <v>408</v>
      </c>
      <c r="D87" t="s">
        <v>407</v>
      </c>
      <c r="E87" t="s">
        <v>41</v>
      </c>
      <c r="F87" t="s">
        <v>101</v>
      </c>
      <c r="G87">
        <v>82010</v>
      </c>
      <c r="H87" s="147">
        <v>120</v>
      </c>
      <c r="I87" s="147">
        <v>7195.79</v>
      </c>
      <c r="J87" s="147">
        <v>240000</v>
      </c>
      <c r="K87" s="147">
        <f t="shared" si="1"/>
        <v>240000</v>
      </c>
    </row>
    <row r="88" spans="1:11" x14ac:dyDescent="0.25">
      <c r="A88">
        <v>87</v>
      </c>
      <c r="B88">
        <v>1972</v>
      </c>
      <c r="C88" t="s">
        <v>409</v>
      </c>
      <c r="D88" t="s">
        <v>410</v>
      </c>
      <c r="E88" t="s">
        <v>273</v>
      </c>
      <c r="F88" t="s">
        <v>5</v>
      </c>
      <c r="G88">
        <v>80000</v>
      </c>
      <c r="H88" s="147">
        <v>487</v>
      </c>
      <c r="I88" s="147">
        <v>23260.87</v>
      </c>
      <c r="J88" s="147">
        <v>974000</v>
      </c>
      <c r="K88" s="147">
        <f t="shared" si="1"/>
        <v>974000</v>
      </c>
    </row>
    <row r="89" spans="1:11" x14ac:dyDescent="0.25">
      <c r="A89">
        <v>88</v>
      </c>
      <c r="B89">
        <v>1973</v>
      </c>
      <c r="C89" t="s">
        <v>411</v>
      </c>
      <c r="D89" t="s">
        <v>412</v>
      </c>
      <c r="E89" t="s">
        <v>347</v>
      </c>
      <c r="F89" t="s">
        <v>101</v>
      </c>
      <c r="G89">
        <v>82210</v>
      </c>
      <c r="H89" s="147">
        <v>106.84</v>
      </c>
      <c r="I89" s="147">
        <v>3704.14</v>
      </c>
      <c r="J89" s="147">
        <v>213680</v>
      </c>
      <c r="K89" s="147">
        <f t="shared" si="1"/>
        <v>213680</v>
      </c>
    </row>
    <row r="90" spans="1:11" x14ac:dyDescent="0.25">
      <c r="A90">
        <v>89</v>
      </c>
      <c r="B90">
        <v>1974</v>
      </c>
      <c r="C90" t="s">
        <v>413</v>
      </c>
      <c r="D90" t="s">
        <v>414</v>
      </c>
      <c r="E90" t="s">
        <v>41</v>
      </c>
      <c r="F90" t="s">
        <v>101</v>
      </c>
      <c r="G90">
        <v>82124</v>
      </c>
      <c r="H90" s="147">
        <v>119.02</v>
      </c>
      <c r="I90" s="147">
        <v>10827.22</v>
      </c>
      <c r="J90" s="147">
        <v>238040</v>
      </c>
      <c r="K90" s="147">
        <f t="shared" si="1"/>
        <v>238040</v>
      </c>
    </row>
    <row r="91" spans="1:11" x14ac:dyDescent="0.25">
      <c r="A91">
        <v>90</v>
      </c>
      <c r="B91">
        <v>1977</v>
      </c>
      <c r="C91" t="s">
        <v>415</v>
      </c>
      <c r="D91" t="s">
        <v>416</v>
      </c>
      <c r="E91" t="s">
        <v>41</v>
      </c>
      <c r="F91" t="s">
        <v>101</v>
      </c>
      <c r="G91">
        <v>82126</v>
      </c>
      <c r="H91" s="147">
        <v>115</v>
      </c>
      <c r="I91" s="147">
        <v>11500.41</v>
      </c>
      <c r="J91" s="147">
        <v>230000</v>
      </c>
      <c r="K91" s="147">
        <f t="shared" si="1"/>
        <v>230000</v>
      </c>
    </row>
    <row r="92" spans="1:11" x14ac:dyDescent="0.25">
      <c r="A92">
        <v>91</v>
      </c>
      <c r="B92">
        <v>1978</v>
      </c>
      <c r="C92" t="s">
        <v>417</v>
      </c>
      <c r="D92" t="s">
        <v>418</v>
      </c>
      <c r="E92" t="s">
        <v>41</v>
      </c>
      <c r="F92" t="s">
        <v>101</v>
      </c>
      <c r="G92">
        <v>82181</v>
      </c>
      <c r="H92" s="147">
        <v>130</v>
      </c>
      <c r="I92" s="147">
        <v>40600</v>
      </c>
      <c r="J92" s="147">
        <v>260000</v>
      </c>
      <c r="K92" s="147">
        <f t="shared" si="1"/>
        <v>260000</v>
      </c>
    </row>
    <row r="93" spans="1:11" x14ac:dyDescent="0.25">
      <c r="A93">
        <v>92</v>
      </c>
      <c r="B93">
        <v>1980</v>
      </c>
      <c r="C93" t="s">
        <v>132</v>
      </c>
      <c r="D93" t="s">
        <v>419</v>
      </c>
      <c r="E93" t="s">
        <v>273</v>
      </c>
      <c r="F93" t="s">
        <v>5</v>
      </c>
      <c r="G93">
        <v>80220</v>
      </c>
      <c r="H93" s="147">
        <v>367.63</v>
      </c>
      <c r="I93" s="147">
        <v>46909.59</v>
      </c>
      <c r="J93" s="147">
        <v>735260</v>
      </c>
      <c r="K93" s="147">
        <f t="shared" si="1"/>
        <v>735260</v>
      </c>
    </row>
    <row r="94" spans="1:11" x14ac:dyDescent="0.25">
      <c r="A94">
        <v>93</v>
      </c>
      <c r="B94">
        <v>1986</v>
      </c>
      <c r="C94" t="s">
        <v>420</v>
      </c>
      <c r="D94" t="s">
        <v>421</v>
      </c>
      <c r="E94" t="s">
        <v>41</v>
      </c>
      <c r="F94" t="s">
        <v>101</v>
      </c>
      <c r="G94">
        <v>82017</v>
      </c>
      <c r="H94" s="147">
        <v>337.92</v>
      </c>
      <c r="I94" s="147">
        <v>31358.98</v>
      </c>
      <c r="J94" s="147">
        <v>675840</v>
      </c>
      <c r="K94" s="147">
        <f t="shared" si="1"/>
        <v>675840</v>
      </c>
    </row>
    <row r="95" spans="1:11" x14ac:dyDescent="0.25">
      <c r="A95">
        <v>94</v>
      </c>
      <c r="B95">
        <v>1992</v>
      </c>
      <c r="C95" t="s">
        <v>422</v>
      </c>
      <c r="D95" t="s">
        <v>423</v>
      </c>
      <c r="E95" t="s">
        <v>41</v>
      </c>
      <c r="F95" t="s">
        <v>101</v>
      </c>
      <c r="G95">
        <v>82017</v>
      </c>
      <c r="H95" s="147">
        <v>89.71</v>
      </c>
      <c r="I95" s="147">
        <v>14618.85</v>
      </c>
      <c r="J95" s="147">
        <v>179420</v>
      </c>
      <c r="K95" s="147">
        <f t="shared" si="1"/>
        <v>179420</v>
      </c>
    </row>
    <row r="96" spans="1:11" x14ac:dyDescent="0.25">
      <c r="A96">
        <v>95</v>
      </c>
      <c r="B96">
        <v>1993</v>
      </c>
      <c r="C96" t="s">
        <v>424</v>
      </c>
      <c r="D96" t="s">
        <v>425</v>
      </c>
      <c r="E96" t="s">
        <v>34</v>
      </c>
      <c r="F96" t="s">
        <v>34</v>
      </c>
      <c r="G96">
        <v>81315</v>
      </c>
      <c r="H96" s="147">
        <v>189.8</v>
      </c>
      <c r="I96" s="147">
        <v>8120</v>
      </c>
      <c r="J96" s="147">
        <v>379600</v>
      </c>
      <c r="K96" s="147">
        <f t="shared" si="1"/>
        <v>379600</v>
      </c>
    </row>
    <row r="97" spans="1:11" x14ac:dyDescent="0.25">
      <c r="A97">
        <v>96</v>
      </c>
      <c r="B97">
        <v>1994</v>
      </c>
      <c r="C97" t="s">
        <v>426</v>
      </c>
      <c r="D97" t="s">
        <v>427</v>
      </c>
      <c r="E97" t="s">
        <v>273</v>
      </c>
      <c r="F97" t="s">
        <v>5</v>
      </c>
      <c r="G97">
        <v>80160</v>
      </c>
      <c r="H97" s="147">
        <v>1972</v>
      </c>
      <c r="I97" s="147">
        <v>117488.28</v>
      </c>
      <c r="J97" s="147">
        <v>3944000</v>
      </c>
      <c r="K97" s="147">
        <f t="shared" si="1"/>
        <v>3944000</v>
      </c>
    </row>
    <row r="98" spans="1:11" x14ac:dyDescent="0.25">
      <c r="A98">
        <v>97</v>
      </c>
      <c r="B98">
        <v>1995</v>
      </c>
      <c r="C98" t="s">
        <v>426</v>
      </c>
      <c r="D98" t="s">
        <v>427</v>
      </c>
      <c r="E98" t="s">
        <v>273</v>
      </c>
      <c r="F98" t="s">
        <v>5</v>
      </c>
      <c r="G98">
        <v>80160</v>
      </c>
      <c r="H98" s="147">
        <v>1316</v>
      </c>
      <c r="I98" s="147">
        <v>88122.67</v>
      </c>
      <c r="J98" s="147">
        <v>2632000</v>
      </c>
      <c r="K98" s="147">
        <f t="shared" si="1"/>
        <v>2632000</v>
      </c>
    </row>
    <row r="99" spans="1:11" x14ac:dyDescent="0.25">
      <c r="A99">
        <v>98</v>
      </c>
      <c r="B99">
        <v>1997</v>
      </c>
      <c r="C99" t="s">
        <v>426</v>
      </c>
      <c r="D99" t="s">
        <v>428</v>
      </c>
      <c r="E99" t="s">
        <v>273</v>
      </c>
      <c r="F99" t="s">
        <v>5</v>
      </c>
      <c r="G99">
        <v>80160</v>
      </c>
      <c r="H99" s="147">
        <v>1159</v>
      </c>
      <c r="I99" s="147">
        <v>90004.28</v>
      </c>
      <c r="J99" s="147">
        <v>2318000</v>
      </c>
      <c r="K99" s="147">
        <f t="shared" si="1"/>
        <v>2318000</v>
      </c>
    </row>
    <row r="100" spans="1:11" x14ac:dyDescent="0.25">
      <c r="A100">
        <v>99</v>
      </c>
      <c r="B100">
        <v>1998</v>
      </c>
      <c r="C100" t="s">
        <v>429</v>
      </c>
      <c r="D100" t="s">
        <v>133</v>
      </c>
      <c r="E100" t="s">
        <v>273</v>
      </c>
      <c r="F100" t="s">
        <v>5</v>
      </c>
      <c r="G100">
        <v>80189</v>
      </c>
      <c r="H100" s="147">
        <v>266.32</v>
      </c>
      <c r="I100" s="147">
        <v>30083.11</v>
      </c>
      <c r="J100" s="147">
        <v>532640</v>
      </c>
      <c r="K100" s="147">
        <f t="shared" si="1"/>
        <v>532640</v>
      </c>
    </row>
    <row r="101" spans="1:11" x14ac:dyDescent="0.25">
      <c r="A101">
        <v>100</v>
      </c>
      <c r="B101">
        <v>2002</v>
      </c>
      <c r="C101" t="s">
        <v>430</v>
      </c>
      <c r="D101" t="s">
        <v>431</v>
      </c>
      <c r="E101" t="s">
        <v>41</v>
      </c>
      <c r="F101" t="s">
        <v>101</v>
      </c>
      <c r="G101">
        <v>82017</v>
      </c>
      <c r="H101" s="147">
        <v>240</v>
      </c>
      <c r="I101" s="147">
        <v>21855.1</v>
      </c>
      <c r="J101" s="147">
        <v>480000</v>
      </c>
      <c r="K101" s="147">
        <f t="shared" si="1"/>
        <v>480000</v>
      </c>
    </row>
    <row r="102" spans="1:11" x14ac:dyDescent="0.25">
      <c r="A102">
        <v>101</v>
      </c>
      <c r="B102">
        <v>2003</v>
      </c>
      <c r="C102" t="s">
        <v>432</v>
      </c>
      <c r="D102" t="s">
        <v>433</v>
      </c>
      <c r="E102" t="s">
        <v>41</v>
      </c>
      <c r="F102" t="s">
        <v>101</v>
      </c>
      <c r="G102">
        <v>82143</v>
      </c>
      <c r="H102" s="147">
        <v>171.5</v>
      </c>
      <c r="I102" s="147">
        <v>11600</v>
      </c>
      <c r="J102" s="147">
        <v>343000</v>
      </c>
      <c r="K102" s="147">
        <f t="shared" si="1"/>
        <v>343000</v>
      </c>
    </row>
    <row r="103" spans="1:11" x14ac:dyDescent="0.25">
      <c r="A103">
        <v>102</v>
      </c>
      <c r="B103">
        <v>2009</v>
      </c>
      <c r="C103" t="s">
        <v>330</v>
      </c>
      <c r="D103" t="s">
        <v>434</v>
      </c>
      <c r="E103" t="s">
        <v>273</v>
      </c>
      <c r="F103" t="s">
        <v>5</v>
      </c>
      <c r="G103">
        <v>80177</v>
      </c>
      <c r="H103" s="147">
        <v>60.08</v>
      </c>
      <c r="I103" s="147">
        <v>23436.28</v>
      </c>
      <c r="J103" s="147">
        <v>120160</v>
      </c>
      <c r="K103" s="147">
        <f t="shared" si="1"/>
        <v>120160</v>
      </c>
    </row>
    <row r="104" spans="1:11" x14ac:dyDescent="0.25">
      <c r="A104">
        <v>103</v>
      </c>
      <c r="B104">
        <v>2011</v>
      </c>
      <c r="C104" t="s">
        <v>435</v>
      </c>
      <c r="D104" t="s">
        <v>436</v>
      </c>
      <c r="E104" t="s">
        <v>4</v>
      </c>
      <c r="F104" t="s">
        <v>4</v>
      </c>
      <c r="G104">
        <v>81040</v>
      </c>
      <c r="H104" s="147">
        <v>821</v>
      </c>
      <c r="I104" s="147">
        <v>52528.3</v>
      </c>
      <c r="J104" s="147">
        <v>1642000</v>
      </c>
      <c r="K104" s="147">
        <f t="shared" si="1"/>
        <v>1642000</v>
      </c>
    </row>
    <row r="105" spans="1:11" x14ac:dyDescent="0.25">
      <c r="A105">
        <v>104</v>
      </c>
      <c r="B105">
        <v>2014</v>
      </c>
      <c r="C105" t="s">
        <v>437</v>
      </c>
      <c r="D105" t="s">
        <v>438</v>
      </c>
      <c r="E105" t="s">
        <v>439</v>
      </c>
      <c r="F105" t="s">
        <v>439</v>
      </c>
      <c r="G105">
        <v>22115</v>
      </c>
      <c r="H105" s="147">
        <v>54.54</v>
      </c>
      <c r="I105" s="147">
        <v>17328.96</v>
      </c>
      <c r="J105" s="147">
        <v>109080</v>
      </c>
      <c r="K105" s="147">
        <f t="shared" si="1"/>
        <v>109080</v>
      </c>
    </row>
    <row r="106" spans="1:11" x14ac:dyDescent="0.25">
      <c r="A106">
        <v>105</v>
      </c>
      <c r="B106">
        <v>2015</v>
      </c>
      <c r="C106" t="s">
        <v>440</v>
      </c>
      <c r="D106" t="s">
        <v>441</v>
      </c>
      <c r="E106" t="s">
        <v>2</v>
      </c>
      <c r="F106" t="s">
        <v>34</v>
      </c>
      <c r="G106">
        <v>81280</v>
      </c>
      <c r="H106" s="147">
        <v>74</v>
      </c>
      <c r="I106" s="147">
        <v>7540</v>
      </c>
      <c r="J106" s="147">
        <v>148000</v>
      </c>
      <c r="K106" s="147">
        <f t="shared" si="1"/>
        <v>148000</v>
      </c>
    </row>
    <row r="107" spans="1:11" x14ac:dyDescent="0.25">
      <c r="A107">
        <v>106</v>
      </c>
      <c r="B107">
        <v>2016</v>
      </c>
      <c r="C107" t="s">
        <v>417</v>
      </c>
      <c r="D107" t="s">
        <v>442</v>
      </c>
      <c r="E107" t="s">
        <v>273</v>
      </c>
      <c r="F107" t="s">
        <v>5</v>
      </c>
      <c r="G107">
        <v>80000</v>
      </c>
      <c r="H107" s="147">
        <v>84</v>
      </c>
      <c r="I107" s="147">
        <v>46400</v>
      </c>
      <c r="J107" s="147">
        <v>168000</v>
      </c>
      <c r="K107" s="147">
        <f t="shared" si="1"/>
        <v>168000</v>
      </c>
    </row>
    <row r="108" spans="1:11" x14ac:dyDescent="0.25">
      <c r="A108">
        <v>107</v>
      </c>
      <c r="B108">
        <v>2017</v>
      </c>
      <c r="C108" t="s">
        <v>443</v>
      </c>
      <c r="D108" t="s">
        <v>134</v>
      </c>
      <c r="E108" t="s">
        <v>270</v>
      </c>
      <c r="F108" t="s">
        <v>34</v>
      </c>
      <c r="G108">
        <v>81330</v>
      </c>
      <c r="H108" s="147">
        <v>79.8</v>
      </c>
      <c r="I108" s="147">
        <v>4640</v>
      </c>
      <c r="J108" s="147">
        <v>159600</v>
      </c>
      <c r="K108" s="147">
        <f t="shared" si="1"/>
        <v>159600</v>
      </c>
    </row>
    <row r="109" spans="1:11" x14ac:dyDescent="0.25">
      <c r="A109">
        <v>108</v>
      </c>
      <c r="B109">
        <v>2019</v>
      </c>
      <c r="C109" t="s">
        <v>444</v>
      </c>
      <c r="D109" t="s">
        <v>445</v>
      </c>
      <c r="E109" t="s">
        <v>41</v>
      </c>
      <c r="F109" t="s">
        <v>101</v>
      </c>
      <c r="G109">
        <v>82013</v>
      </c>
      <c r="H109" s="147">
        <v>1628.32</v>
      </c>
      <c r="I109" s="147">
        <v>45447.99</v>
      </c>
      <c r="J109" s="147">
        <v>3256640</v>
      </c>
      <c r="K109" s="147">
        <f t="shared" si="1"/>
        <v>3256640</v>
      </c>
    </row>
    <row r="110" spans="1:11" x14ac:dyDescent="0.25">
      <c r="A110">
        <v>109</v>
      </c>
      <c r="B110">
        <v>2020</v>
      </c>
      <c r="C110" t="s">
        <v>446</v>
      </c>
      <c r="D110" t="s">
        <v>447</v>
      </c>
      <c r="E110" t="s">
        <v>448</v>
      </c>
      <c r="F110" t="s">
        <v>5</v>
      </c>
      <c r="G110">
        <v>80400</v>
      </c>
      <c r="H110" s="147">
        <v>39.590000000000003</v>
      </c>
      <c r="I110" s="147">
        <v>4509.75</v>
      </c>
      <c r="J110" s="147">
        <v>79180</v>
      </c>
      <c r="K110" s="147">
        <f t="shared" si="1"/>
        <v>79180</v>
      </c>
    </row>
    <row r="111" spans="1:11" x14ac:dyDescent="0.25">
      <c r="A111">
        <v>110</v>
      </c>
      <c r="B111">
        <v>2021</v>
      </c>
      <c r="C111" t="s">
        <v>330</v>
      </c>
      <c r="D111" t="s">
        <v>449</v>
      </c>
      <c r="E111" t="s">
        <v>2</v>
      </c>
      <c r="F111" t="s">
        <v>34</v>
      </c>
      <c r="G111">
        <v>81200</v>
      </c>
      <c r="H111" s="147">
        <v>21</v>
      </c>
      <c r="I111" s="147">
        <v>11970</v>
      </c>
      <c r="J111" s="147">
        <v>42000</v>
      </c>
      <c r="K111" s="147">
        <f t="shared" si="1"/>
        <v>42000</v>
      </c>
    </row>
    <row r="112" spans="1:11" x14ac:dyDescent="0.25">
      <c r="A112">
        <v>111</v>
      </c>
      <c r="B112">
        <v>2022</v>
      </c>
      <c r="C112" t="s">
        <v>135</v>
      </c>
      <c r="D112" t="s">
        <v>450</v>
      </c>
      <c r="E112" t="s">
        <v>273</v>
      </c>
      <c r="F112" t="s">
        <v>5</v>
      </c>
      <c r="G112">
        <v>80170</v>
      </c>
      <c r="H112" s="147">
        <v>698.1</v>
      </c>
      <c r="I112" s="147">
        <v>34800</v>
      </c>
      <c r="J112" s="147">
        <v>1396200</v>
      </c>
      <c r="K112" s="147">
        <f t="shared" si="1"/>
        <v>1396200</v>
      </c>
    </row>
    <row r="113" spans="1:11" x14ac:dyDescent="0.25">
      <c r="A113">
        <v>112</v>
      </c>
      <c r="B113">
        <v>2023</v>
      </c>
      <c r="C113" t="s">
        <v>451</v>
      </c>
      <c r="D113" t="s">
        <v>136</v>
      </c>
      <c r="E113" t="s">
        <v>273</v>
      </c>
      <c r="F113" t="s">
        <v>5</v>
      </c>
      <c r="G113">
        <v>80080</v>
      </c>
      <c r="H113" s="147">
        <v>108</v>
      </c>
      <c r="I113" s="147">
        <v>45958.98</v>
      </c>
      <c r="J113" s="147">
        <v>216000</v>
      </c>
      <c r="K113" s="147">
        <f t="shared" si="1"/>
        <v>216000</v>
      </c>
    </row>
    <row r="114" spans="1:11" x14ac:dyDescent="0.25">
      <c r="A114">
        <v>113</v>
      </c>
      <c r="B114">
        <v>2024</v>
      </c>
      <c r="C114" t="s">
        <v>452</v>
      </c>
      <c r="D114" t="s">
        <v>453</v>
      </c>
      <c r="E114" t="s">
        <v>2</v>
      </c>
      <c r="F114" t="s">
        <v>34</v>
      </c>
      <c r="G114">
        <v>81280</v>
      </c>
      <c r="H114" s="147">
        <v>52.67</v>
      </c>
      <c r="I114" s="147">
        <v>11368</v>
      </c>
      <c r="J114" s="147">
        <v>105340</v>
      </c>
      <c r="K114" s="147">
        <f t="shared" si="1"/>
        <v>105340</v>
      </c>
    </row>
    <row r="115" spans="1:11" x14ac:dyDescent="0.25">
      <c r="A115">
        <v>114</v>
      </c>
      <c r="B115">
        <v>2025</v>
      </c>
      <c r="C115" t="s">
        <v>454</v>
      </c>
      <c r="D115" t="s">
        <v>455</v>
      </c>
      <c r="E115" t="s">
        <v>273</v>
      </c>
      <c r="F115" t="s">
        <v>5</v>
      </c>
      <c r="G115">
        <v>80040</v>
      </c>
      <c r="H115" s="147">
        <v>450</v>
      </c>
      <c r="I115" s="147">
        <v>22132.799999999999</v>
      </c>
      <c r="J115" s="147">
        <v>900000</v>
      </c>
      <c r="K115" s="147">
        <f t="shared" si="1"/>
        <v>900000</v>
      </c>
    </row>
    <row r="116" spans="1:11" x14ac:dyDescent="0.25">
      <c r="A116">
        <v>115</v>
      </c>
      <c r="B116">
        <v>2027</v>
      </c>
      <c r="C116" t="s">
        <v>456</v>
      </c>
      <c r="D116" t="s">
        <v>457</v>
      </c>
      <c r="E116" t="s">
        <v>2</v>
      </c>
      <c r="F116" t="s">
        <v>34</v>
      </c>
      <c r="G116">
        <v>81240</v>
      </c>
      <c r="H116" s="147">
        <v>178.5</v>
      </c>
      <c r="I116" s="147">
        <v>3600.07</v>
      </c>
      <c r="J116" s="147">
        <v>357000</v>
      </c>
      <c r="K116" s="147">
        <f t="shared" si="1"/>
        <v>357000</v>
      </c>
    </row>
    <row r="117" spans="1:11" x14ac:dyDescent="0.25">
      <c r="A117">
        <v>116</v>
      </c>
      <c r="B117">
        <v>2029</v>
      </c>
      <c r="C117" t="s">
        <v>458</v>
      </c>
      <c r="D117" t="s">
        <v>459</v>
      </c>
      <c r="E117" t="s">
        <v>41</v>
      </c>
      <c r="F117" t="s">
        <v>101</v>
      </c>
      <c r="G117">
        <v>82138</v>
      </c>
      <c r="H117" s="147">
        <v>180.39</v>
      </c>
      <c r="I117" s="147">
        <v>20880</v>
      </c>
      <c r="J117" s="147">
        <v>360780</v>
      </c>
      <c r="K117" s="147">
        <f t="shared" si="1"/>
        <v>360780</v>
      </c>
    </row>
    <row r="118" spans="1:11" x14ac:dyDescent="0.25">
      <c r="A118">
        <v>117</v>
      </c>
      <c r="B118">
        <v>2030</v>
      </c>
      <c r="C118" t="s">
        <v>460</v>
      </c>
      <c r="D118" t="s">
        <v>461</v>
      </c>
      <c r="E118" t="s">
        <v>2</v>
      </c>
      <c r="F118" t="s">
        <v>34</v>
      </c>
      <c r="G118">
        <v>81240</v>
      </c>
      <c r="H118" s="147">
        <v>225.46</v>
      </c>
      <c r="I118" s="147">
        <v>20880</v>
      </c>
      <c r="J118" s="147">
        <v>450920</v>
      </c>
      <c r="K118" s="147">
        <f t="shared" si="1"/>
        <v>450920</v>
      </c>
    </row>
    <row r="119" spans="1:11" x14ac:dyDescent="0.25">
      <c r="A119">
        <v>121</v>
      </c>
      <c r="B119">
        <v>2031</v>
      </c>
      <c r="C119" t="s">
        <v>462</v>
      </c>
      <c r="D119" t="s">
        <v>463</v>
      </c>
      <c r="E119" t="s">
        <v>273</v>
      </c>
      <c r="F119" t="s">
        <v>5</v>
      </c>
      <c r="G119">
        <v>80199</v>
      </c>
      <c r="H119" s="147">
        <v>119.47</v>
      </c>
      <c r="I119" s="147">
        <v>36179.769999999997</v>
      </c>
      <c r="J119" s="147">
        <v>238940</v>
      </c>
      <c r="K119" s="147">
        <f t="shared" si="1"/>
        <v>238940</v>
      </c>
    </row>
    <row r="120" spans="1:11" x14ac:dyDescent="0.25">
      <c r="A120">
        <v>122</v>
      </c>
      <c r="B120">
        <v>2031</v>
      </c>
      <c r="C120" t="s">
        <v>464</v>
      </c>
      <c r="D120" t="s">
        <v>463</v>
      </c>
      <c r="E120" t="s">
        <v>273</v>
      </c>
      <c r="F120" t="s">
        <v>5</v>
      </c>
      <c r="G120">
        <v>80199</v>
      </c>
      <c r="H120" s="147">
        <v>119.47</v>
      </c>
      <c r="I120" s="147">
        <v>5641.93</v>
      </c>
      <c r="J120" s="147">
        <v>238940</v>
      </c>
      <c r="K120" s="147">
        <f t="shared" si="1"/>
        <v>238940</v>
      </c>
    </row>
    <row r="121" spans="1:11" x14ac:dyDescent="0.25">
      <c r="A121">
        <v>120</v>
      </c>
      <c r="B121">
        <v>2031</v>
      </c>
      <c r="C121" t="s">
        <v>465</v>
      </c>
      <c r="D121" t="s">
        <v>463</v>
      </c>
      <c r="E121" t="s">
        <v>273</v>
      </c>
      <c r="F121" t="s">
        <v>5</v>
      </c>
      <c r="G121">
        <v>80199</v>
      </c>
      <c r="H121" s="147">
        <v>119.47</v>
      </c>
      <c r="I121" s="147">
        <v>16925.79</v>
      </c>
      <c r="J121" s="147">
        <v>238940</v>
      </c>
      <c r="K121" s="147">
        <f t="shared" si="1"/>
        <v>238940</v>
      </c>
    </row>
    <row r="122" spans="1:11" x14ac:dyDescent="0.25">
      <c r="A122">
        <v>118</v>
      </c>
      <c r="B122">
        <v>2031</v>
      </c>
      <c r="C122" t="s">
        <v>466</v>
      </c>
      <c r="D122" t="s">
        <v>463</v>
      </c>
      <c r="E122" t="s">
        <v>273</v>
      </c>
      <c r="F122" t="s">
        <v>5</v>
      </c>
      <c r="G122">
        <v>80199</v>
      </c>
      <c r="H122" s="147">
        <v>119.47</v>
      </c>
      <c r="I122" s="147">
        <v>5641.93</v>
      </c>
      <c r="J122" s="147">
        <v>238940</v>
      </c>
      <c r="K122" s="147">
        <f t="shared" si="1"/>
        <v>238940</v>
      </c>
    </row>
    <row r="123" spans="1:11" x14ac:dyDescent="0.25">
      <c r="A123">
        <v>119</v>
      </c>
      <c r="B123">
        <v>2031</v>
      </c>
      <c r="C123" t="s">
        <v>467</v>
      </c>
      <c r="D123" t="s">
        <v>463</v>
      </c>
      <c r="E123" t="s">
        <v>273</v>
      </c>
      <c r="F123" t="s">
        <v>5</v>
      </c>
      <c r="G123">
        <v>80199</v>
      </c>
      <c r="H123" s="147">
        <v>119.49</v>
      </c>
      <c r="I123" s="147">
        <v>5641.93</v>
      </c>
      <c r="J123" s="147">
        <v>238980</v>
      </c>
      <c r="K123" s="147">
        <f t="shared" si="1"/>
        <v>238980</v>
      </c>
    </row>
    <row r="124" spans="1:11" x14ac:dyDescent="0.25">
      <c r="A124">
        <v>123</v>
      </c>
      <c r="B124">
        <v>2032</v>
      </c>
      <c r="C124" t="s">
        <v>468</v>
      </c>
      <c r="D124" t="s">
        <v>469</v>
      </c>
      <c r="E124" t="s">
        <v>273</v>
      </c>
      <c r="F124" t="s">
        <v>5</v>
      </c>
      <c r="G124">
        <v>80010</v>
      </c>
      <c r="H124" s="147">
        <v>323.39999999999998</v>
      </c>
      <c r="I124" s="147">
        <v>51179.199999999997</v>
      </c>
      <c r="J124" s="147">
        <v>646800</v>
      </c>
      <c r="K124" s="147">
        <f t="shared" si="1"/>
        <v>646800</v>
      </c>
    </row>
  </sheetData>
  <pageMargins left="0.7" right="0.7" top="0.75" bottom="0.75" header="0.3" footer="0.3"/>
  <customProperties>
    <customPr name="LastActive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 tint="-0.249977111117893"/>
    <pageSetUpPr fitToPage="1"/>
  </sheetPr>
  <dimension ref="B1:T212"/>
  <sheetViews>
    <sheetView showGridLines="0" showRowColHeaders="0" zoomScale="120" zoomScaleNormal="120" workbookViewId="0">
      <pane ySplit="3" topLeftCell="A4" activePane="bottomLeft" state="frozen"/>
      <selection pane="bottomLeft" activeCell="B205" sqref="B205"/>
    </sheetView>
  </sheetViews>
  <sheetFormatPr baseColWidth="10" defaultColWidth="11.42578125" defaultRowHeight="12.75" x14ac:dyDescent="0.25"/>
  <cols>
    <col min="1" max="1" width="2.42578125" style="44" customWidth="1"/>
    <col min="2" max="2" width="4.5703125" style="41" customWidth="1"/>
    <col min="3" max="3" width="12" style="42" customWidth="1"/>
    <col min="4" max="4" width="13.140625" style="42" customWidth="1"/>
    <col min="5" max="5" width="72.5703125" style="43" customWidth="1"/>
    <col min="6" max="6" width="51.7109375" style="42" customWidth="1"/>
    <col min="7" max="7" width="10.42578125" style="41" customWidth="1"/>
    <col min="8" max="8" width="15.42578125" style="42" customWidth="1"/>
    <col min="9" max="9" width="17.5703125" style="44" customWidth="1"/>
    <col min="10" max="10" width="16.28515625" style="45" customWidth="1"/>
    <col min="11" max="11" width="17.140625" style="45" customWidth="1"/>
    <col min="12" max="12" width="15.140625" style="44" customWidth="1"/>
    <col min="13" max="13" width="16.28515625" style="44" customWidth="1"/>
    <col min="14" max="14" width="15.140625" style="44" customWidth="1"/>
    <col min="15" max="15" width="15.28515625" style="44" customWidth="1"/>
    <col min="16" max="16" width="14.28515625" style="44" customWidth="1"/>
    <col min="17" max="17" width="12.42578125" style="44" customWidth="1"/>
    <col min="18" max="18" width="13.7109375" style="44" customWidth="1"/>
    <col min="19" max="19" width="14" style="44" customWidth="1"/>
    <col min="20" max="20" width="12.140625" style="44" customWidth="1"/>
    <col min="21" max="21" width="17.140625" style="44" customWidth="1"/>
    <col min="22" max="16384" width="11.42578125" style="44"/>
  </cols>
  <sheetData>
    <row r="1" spans="2:20" ht="51.75" customHeight="1" x14ac:dyDescent="0.35">
      <c r="C1" s="496" t="s">
        <v>592</v>
      </c>
    </row>
    <row r="2" spans="2:20" s="1" customFormat="1" ht="38.25" customHeight="1" thickBot="1" x14ac:dyDescent="0.3">
      <c r="B2" s="342" t="s">
        <v>198</v>
      </c>
      <c r="C2" s="342" t="s">
        <v>36</v>
      </c>
      <c r="D2" s="342" t="s">
        <v>53</v>
      </c>
      <c r="E2" s="342" t="s">
        <v>37</v>
      </c>
      <c r="F2" s="342" t="s">
        <v>38</v>
      </c>
      <c r="G2" s="342" t="s">
        <v>95</v>
      </c>
      <c r="H2" s="342" t="s">
        <v>39</v>
      </c>
      <c r="I2" s="336" t="s">
        <v>581</v>
      </c>
      <c r="J2" s="337" t="s">
        <v>114</v>
      </c>
      <c r="K2" s="337" t="s">
        <v>488</v>
      </c>
      <c r="L2" s="338" t="s">
        <v>518</v>
      </c>
      <c r="M2" s="338" t="s">
        <v>527</v>
      </c>
      <c r="N2" s="339" t="s">
        <v>528</v>
      </c>
      <c r="O2" s="340" t="s">
        <v>524</v>
      </c>
      <c r="P2" s="339" t="s">
        <v>529</v>
      </c>
      <c r="Q2" s="339" t="s">
        <v>530</v>
      </c>
      <c r="R2" s="339" t="s">
        <v>483</v>
      </c>
      <c r="S2" s="340" t="s">
        <v>531</v>
      </c>
      <c r="T2" s="489" t="s">
        <v>532</v>
      </c>
    </row>
    <row r="3" spans="2:20" s="1" customFormat="1" ht="24.75" customHeight="1" thickBot="1" x14ac:dyDescent="0.3">
      <c r="B3" s="360"/>
      <c r="C3" s="308"/>
      <c r="D3" s="308"/>
      <c r="E3" s="309"/>
      <c r="F3" s="310" t="s">
        <v>521</v>
      </c>
      <c r="G3" s="311"/>
      <c r="H3" s="312"/>
      <c r="I3" s="313"/>
      <c r="J3" s="314"/>
      <c r="K3" s="314"/>
      <c r="L3" s="330">
        <v>20000000</v>
      </c>
      <c r="M3" s="331">
        <f>(I3+J3)*5%</f>
        <v>0</v>
      </c>
      <c r="N3" s="332">
        <v>50000000</v>
      </c>
      <c r="O3" s="333">
        <v>20000000</v>
      </c>
      <c r="P3" s="330">
        <v>1500000</v>
      </c>
      <c r="Q3" s="330">
        <v>500000</v>
      </c>
      <c r="R3" s="330">
        <v>500000</v>
      </c>
      <c r="S3" s="319"/>
      <c r="T3" s="319"/>
    </row>
    <row r="4" spans="2:20" s="1" customFormat="1" ht="25.5" customHeight="1" x14ac:dyDescent="0.25">
      <c r="B4" s="46"/>
      <c r="C4" s="621" t="s">
        <v>593</v>
      </c>
      <c r="D4" s="621"/>
      <c r="E4" s="159" t="s">
        <v>85</v>
      </c>
      <c r="F4" s="46"/>
      <c r="G4" s="46"/>
      <c r="H4" s="46"/>
      <c r="I4" s="47"/>
      <c r="J4" s="48"/>
      <c r="K4" s="48"/>
      <c r="L4" s="49"/>
      <c r="M4" s="49"/>
      <c r="N4" s="49"/>
      <c r="O4" s="49"/>
      <c r="P4" s="49"/>
      <c r="Q4" s="49"/>
      <c r="R4" s="49"/>
      <c r="S4" s="49"/>
      <c r="T4" s="49"/>
    </row>
    <row r="5" spans="2:20" x14ac:dyDescent="0.25">
      <c r="B5" s="50">
        <v>1</v>
      </c>
      <c r="C5" s="51" t="s">
        <v>55</v>
      </c>
      <c r="D5" s="51" t="s">
        <v>31</v>
      </c>
      <c r="E5" s="52" t="s">
        <v>8</v>
      </c>
      <c r="F5" s="51" t="s">
        <v>70</v>
      </c>
      <c r="G5" s="50">
        <v>80140</v>
      </c>
      <c r="H5" s="51" t="s">
        <v>40</v>
      </c>
      <c r="I5" s="53">
        <v>7673499</v>
      </c>
      <c r="J5" s="54">
        <f>I5*0.235649</f>
        <v>1808252.365851</v>
      </c>
      <c r="K5" s="54">
        <f>+I5+J5</f>
        <v>9481751.365851</v>
      </c>
      <c r="L5" s="55">
        <v>20000000</v>
      </c>
      <c r="M5" s="56">
        <f>(I5+J5)*5%</f>
        <v>474087.56829255004</v>
      </c>
      <c r="N5" s="59" t="s">
        <v>124</v>
      </c>
      <c r="O5" s="57"/>
      <c r="P5" s="59" t="s">
        <v>124</v>
      </c>
      <c r="Q5" s="164" t="s">
        <v>124</v>
      </c>
      <c r="R5" s="164" t="s">
        <v>124</v>
      </c>
      <c r="S5" s="57"/>
      <c r="T5" s="57"/>
    </row>
    <row r="6" spans="2:20" x14ac:dyDescent="0.25">
      <c r="B6" s="50">
        <v>2</v>
      </c>
      <c r="C6" s="51" t="s">
        <v>55</v>
      </c>
      <c r="D6" s="51" t="s">
        <v>31</v>
      </c>
      <c r="E6" s="52" t="s">
        <v>9</v>
      </c>
      <c r="F6" s="51" t="s">
        <v>71</v>
      </c>
      <c r="G6" s="50">
        <v>80363</v>
      </c>
      <c r="H6" s="51" t="s">
        <v>52</v>
      </c>
      <c r="I6" s="53">
        <v>4070298.8564059003</v>
      </c>
      <c r="J6" s="54">
        <f t="shared" ref="J6:J40" si="0">I6*0.235649</f>
        <v>959161.85521319404</v>
      </c>
      <c r="K6" s="54">
        <f t="shared" ref="K6:K40" si="1">+I6+J6</f>
        <v>5029460.711619094</v>
      </c>
      <c r="L6" s="58" t="s">
        <v>124</v>
      </c>
      <c r="M6" s="56">
        <f>(I6+J6)*5%</f>
        <v>251473.03558095472</v>
      </c>
      <c r="N6" s="59" t="s">
        <v>124</v>
      </c>
      <c r="O6" s="57"/>
      <c r="P6" s="59" t="s">
        <v>124</v>
      </c>
      <c r="Q6" s="164" t="s">
        <v>124</v>
      </c>
      <c r="R6" s="164" t="s">
        <v>124</v>
      </c>
      <c r="S6" s="57"/>
      <c r="T6" s="57"/>
    </row>
    <row r="7" spans="2:20" ht="12" customHeight="1" x14ac:dyDescent="0.25">
      <c r="B7" s="60">
        <v>3</v>
      </c>
      <c r="C7" s="61" t="s">
        <v>55</v>
      </c>
      <c r="D7" s="61" t="s">
        <v>31</v>
      </c>
      <c r="E7" s="61" t="s">
        <v>105</v>
      </c>
      <c r="F7" s="61" t="s">
        <v>612</v>
      </c>
      <c r="G7" s="60">
        <v>80054</v>
      </c>
      <c r="H7" s="61" t="s">
        <v>40</v>
      </c>
      <c r="I7" s="62">
        <v>80984932.799999997</v>
      </c>
      <c r="J7" s="54">
        <f t="shared" si="0"/>
        <v>19084018.429387201</v>
      </c>
      <c r="K7" s="54">
        <f t="shared" si="1"/>
        <v>100068951.22938719</v>
      </c>
      <c r="L7" s="58" t="s">
        <v>124</v>
      </c>
      <c r="M7" s="56">
        <f t="shared" ref="M7:M40" si="2">(I7+J7)*5%</f>
        <v>5003447.5614693603</v>
      </c>
      <c r="N7" s="59" t="s">
        <v>124</v>
      </c>
      <c r="O7" s="57"/>
      <c r="P7" s="59" t="s">
        <v>124</v>
      </c>
      <c r="Q7" s="164" t="s">
        <v>124</v>
      </c>
      <c r="R7" s="164" t="s">
        <v>124</v>
      </c>
      <c r="S7" s="57"/>
      <c r="T7" s="57"/>
    </row>
    <row r="8" spans="2:20" s="3" customFormat="1" x14ac:dyDescent="0.25">
      <c r="B8" s="50">
        <v>4</v>
      </c>
      <c r="C8" s="63" t="s">
        <v>55</v>
      </c>
      <c r="D8" s="63" t="s">
        <v>31</v>
      </c>
      <c r="E8" s="64" t="s">
        <v>6</v>
      </c>
      <c r="F8" s="63" t="s">
        <v>65</v>
      </c>
      <c r="G8" s="65">
        <v>80129</v>
      </c>
      <c r="H8" s="63" t="s">
        <v>40</v>
      </c>
      <c r="I8" s="53">
        <v>9164696.4000000004</v>
      </c>
      <c r="J8" s="54">
        <f t="shared" si="0"/>
        <v>2159651.5419636001</v>
      </c>
      <c r="K8" s="54">
        <f t="shared" si="1"/>
        <v>11324347.9419636</v>
      </c>
      <c r="L8" s="58" t="s">
        <v>124</v>
      </c>
      <c r="M8" s="56">
        <f t="shared" si="2"/>
        <v>566217.39709818002</v>
      </c>
      <c r="N8" s="59" t="s">
        <v>124</v>
      </c>
      <c r="O8" s="57"/>
      <c r="P8" s="59" t="s">
        <v>124</v>
      </c>
      <c r="Q8" s="164" t="s">
        <v>124</v>
      </c>
      <c r="R8" s="164" t="s">
        <v>124</v>
      </c>
      <c r="S8" s="57"/>
      <c r="T8" s="57"/>
    </row>
    <row r="9" spans="2:20" s="2" customFormat="1" ht="15" customHeight="1" x14ac:dyDescent="0.2">
      <c r="B9" s="50">
        <v>5</v>
      </c>
      <c r="C9" s="66" t="s">
        <v>55</v>
      </c>
      <c r="D9" s="66" t="s">
        <v>32</v>
      </c>
      <c r="E9" s="61" t="s">
        <v>54</v>
      </c>
      <c r="F9" s="66" t="s">
        <v>63</v>
      </c>
      <c r="G9" s="67">
        <v>80130</v>
      </c>
      <c r="H9" s="66" t="s">
        <v>40</v>
      </c>
      <c r="I9" s="53">
        <v>75110455.200000003</v>
      </c>
      <c r="J9" s="54">
        <f t="shared" si="0"/>
        <v>17699703.6574248</v>
      </c>
      <c r="K9" s="54">
        <f t="shared" si="1"/>
        <v>92810158.857424796</v>
      </c>
      <c r="L9" s="58" t="s">
        <v>124</v>
      </c>
      <c r="M9" s="56">
        <f t="shared" si="2"/>
        <v>4640507.94287124</v>
      </c>
      <c r="N9" s="59" t="s">
        <v>124</v>
      </c>
      <c r="O9" s="57"/>
      <c r="P9" s="59" t="s">
        <v>124</v>
      </c>
      <c r="Q9" s="164" t="s">
        <v>124</v>
      </c>
      <c r="R9" s="164" t="s">
        <v>124</v>
      </c>
      <c r="S9" s="57"/>
      <c r="T9" s="57"/>
    </row>
    <row r="10" spans="2:20" x14ac:dyDescent="0.25">
      <c r="B10" s="60">
        <v>6</v>
      </c>
      <c r="C10" s="51" t="s">
        <v>55</v>
      </c>
      <c r="D10" s="51" t="s">
        <v>32</v>
      </c>
      <c r="E10" s="68" t="s">
        <v>30</v>
      </c>
      <c r="F10" s="51" t="s">
        <v>66</v>
      </c>
      <c r="G10" s="50">
        <v>80000</v>
      </c>
      <c r="H10" s="51" t="s">
        <v>40</v>
      </c>
      <c r="I10" s="53">
        <v>4748344.2</v>
      </c>
      <c r="J10" s="54">
        <f t="shared" si="0"/>
        <v>1118942.5623858001</v>
      </c>
      <c r="K10" s="54">
        <f t="shared" si="1"/>
        <v>5867286.7623858005</v>
      </c>
      <c r="L10" s="58" t="s">
        <v>124</v>
      </c>
      <c r="M10" s="56">
        <f t="shared" si="2"/>
        <v>293364.33811929001</v>
      </c>
      <c r="N10" s="59" t="s">
        <v>124</v>
      </c>
      <c r="O10" s="57"/>
      <c r="P10" s="59" t="s">
        <v>124</v>
      </c>
      <c r="Q10" s="164" t="s">
        <v>124</v>
      </c>
      <c r="R10" s="164" t="s">
        <v>124</v>
      </c>
      <c r="S10" s="57"/>
      <c r="T10" s="57"/>
    </row>
    <row r="11" spans="2:20" s="2" customFormat="1" ht="14.25" customHeight="1" x14ac:dyDescent="0.2">
      <c r="B11" s="50">
        <v>7</v>
      </c>
      <c r="C11" s="66" t="s">
        <v>55</v>
      </c>
      <c r="D11" s="66" t="s">
        <v>32</v>
      </c>
      <c r="E11" s="61" t="s">
        <v>138</v>
      </c>
      <c r="F11" s="61" t="s">
        <v>64</v>
      </c>
      <c r="G11" s="60">
        <v>80130</v>
      </c>
      <c r="H11" s="61" t="s">
        <v>40</v>
      </c>
      <c r="I11" s="53">
        <v>22096946.314080004</v>
      </c>
      <c r="J11" s="54">
        <f t="shared" si="0"/>
        <v>5207123.3019666383</v>
      </c>
      <c r="K11" s="54">
        <f t="shared" si="1"/>
        <v>27304069.616046641</v>
      </c>
      <c r="L11" s="69" t="s">
        <v>124</v>
      </c>
      <c r="M11" s="56">
        <f t="shared" si="2"/>
        <v>1365203.4808023321</v>
      </c>
      <c r="N11" s="70" t="s">
        <v>124</v>
      </c>
      <c r="O11" s="71"/>
      <c r="P11" s="72" t="s">
        <v>124</v>
      </c>
      <c r="Q11" s="165" t="s">
        <v>124</v>
      </c>
      <c r="R11" s="165" t="s">
        <v>124</v>
      </c>
      <c r="S11" s="73"/>
      <c r="T11" s="73"/>
    </row>
    <row r="12" spans="2:20" x14ac:dyDescent="0.25">
      <c r="B12" s="50">
        <v>8</v>
      </c>
      <c r="C12" s="51" t="s">
        <v>55</v>
      </c>
      <c r="D12" s="51" t="s">
        <v>32</v>
      </c>
      <c r="E12" s="52" t="s">
        <v>86</v>
      </c>
      <c r="F12" s="74" t="s">
        <v>69</v>
      </c>
      <c r="G12" s="75">
        <v>80308</v>
      </c>
      <c r="H12" s="74" t="s">
        <v>40</v>
      </c>
      <c r="I12" s="53">
        <v>108894330</v>
      </c>
      <c r="J12" s="54">
        <f t="shared" si="0"/>
        <v>25660839.970169999</v>
      </c>
      <c r="K12" s="54">
        <f t="shared" si="1"/>
        <v>134555169.97016999</v>
      </c>
      <c r="L12" s="58" t="s">
        <v>124</v>
      </c>
      <c r="M12" s="56">
        <f t="shared" si="2"/>
        <v>6727758.4985084999</v>
      </c>
      <c r="N12" s="76" t="s">
        <v>124</v>
      </c>
      <c r="O12" s="77"/>
      <c r="P12" s="59" t="s">
        <v>124</v>
      </c>
      <c r="Q12" s="164" t="s">
        <v>124</v>
      </c>
      <c r="R12" s="164" t="s">
        <v>124</v>
      </c>
      <c r="S12" s="57"/>
      <c r="T12" s="57"/>
    </row>
    <row r="13" spans="2:20" x14ac:dyDescent="0.25">
      <c r="B13" s="60">
        <v>9</v>
      </c>
      <c r="C13" s="51" t="s">
        <v>55</v>
      </c>
      <c r="D13" s="51" t="s">
        <v>32</v>
      </c>
      <c r="E13" s="52" t="s">
        <v>87</v>
      </c>
      <c r="F13" s="74" t="s">
        <v>604</v>
      </c>
      <c r="G13" s="75">
        <v>82089</v>
      </c>
      <c r="H13" s="74" t="s">
        <v>41</v>
      </c>
      <c r="I13" s="53">
        <v>108894330</v>
      </c>
      <c r="J13" s="54">
        <f t="shared" si="0"/>
        <v>25660839.970169999</v>
      </c>
      <c r="K13" s="54">
        <f t="shared" si="1"/>
        <v>134555169.97016999</v>
      </c>
      <c r="L13" s="58" t="s">
        <v>124</v>
      </c>
      <c r="M13" s="56">
        <f t="shared" si="2"/>
        <v>6727758.4985084999</v>
      </c>
      <c r="N13" s="76" t="s">
        <v>124</v>
      </c>
      <c r="O13" s="78"/>
      <c r="P13" s="59" t="s">
        <v>124</v>
      </c>
      <c r="Q13" s="164" t="s">
        <v>124</v>
      </c>
      <c r="R13" s="164" t="s">
        <v>124</v>
      </c>
      <c r="S13" s="55">
        <v>30000000</v>
      </c>
      <c r="T13" s="57"/>
    </row>
    <row r="14" spans="2:20" x14ac:dyDescent="0.25">
      <c r="B14" s="50">
        <v>10</v>
      </c>
      <c r="C14" s="51" t="s">
        <v>55</v>
      </c>
      <c r="D14" s="51" t="s">
        <v>32</v>
      </c>
      <c r="E14" s="52" t="s">
        <v>90</v>
      </c>
      <c r="F14" s="74" t="s">
        <v>604</v>
      </c>
      <c r="G14" s="75">
        <v>81306</v>
      </c>
      <c r="H14" s="74" t="s">
        <v>34</v>
      </c>
      <c r="I14" s="53">
        <v>108894330</v>
      </c>
      <c r="J14" s="54">
        <f t="shared" si="0"/>
        <v>25660839.970169999</v>
      </c>
      <c r="K14" s="54">
        <f t="shared" si="1"/>
        <v>134555169.97016999</v>
      </c>
      <c r="L14" s="58" t="s">
        <v>124</v>
      </c>
      <c r="M14" s="56">
        <f t="shared" si="2"/>
        <v>6727758.4985084999</v>
      </c>
      <c r="N14" s="76" t="s">
        <v>124</v>
      </c>
      <c r="O14" s="78"/>
      <c r="P14" s="59" t="s">
        <v>124</v>
      </c>
      <c r="Q14" s="164" t="s">
        <v>124</v>
      </c>
      <c r="R14" s="164" t="s">
        <v>124</v>
      </c>
      <c r="S14" s="55">
        <v>30000000</v>
      </c>
      <c r="T14" s="57"/>
    </row>
    <row r="15" spans="2:20" x14ac:dyDescent="0.25">
      <c r="B15" s="50">
        <v>11</v>
      </c>
      <c r="C15" s="51" t="s">
        <v>55</v>
      </c>
      <c r="D15" s="51" t="s">
        <v>32</v>
      </c>
      <c r="E15" s="52" t="s">
        <v>94</v>
      </c>
      <c r="F15" s="74" t="s">
        <v>604</v>
      </c>
      <c r="G15" s="50">
        <v>81664</v>
      </c>
      <c r="H15" s="74" t="s">
        <v>35</v>
      </c>
      <c r="I15" s="53">
        <v>108894330</v>
      </c>
      <c r="J15" s="54">
        <f t="shared" si="0"/>
        <v>25660839.970169999</v>
      </c>
      <c r="K15" s="54">
        <f t="shared" si="1"/>
        <v>134555169.97016999</v>
      </c>
      <c r="L15" s="58" t="s">
        <v>124</v>
      </c>
      <c r="M15" s="56">
        <f t="shared" si="2"/>
        <v>6727758.4985084999</v>
      </c>
      <c r="N15" s="76" t="s">
        <v>124</v>
      </c>
      <c r="O15" s="78"/>
      <c r="P15" s="59" t="s">
        <v>124</v>
      </c>
      <c r="Q15" s="164" t="s">
        <v>124</v>
      </c>
      <c r="R15" s="164" t="s">
        <v>124</v>
      </c>
      <c r="S15" s="55">
        <v>30000000</v>
      </c>
      <c r="T15" s="57"/>
    </row>
    <row r="16" spans="2:20" x14ac:dyDescent="0.25">
      <c r="B16" s="60">
        <v>12</v>
      </c>
      <c r="C16" s="51" t="s">
        <v>55</v>
      </c>
      <c r="D16" s="51" t="s">
        <v>32</v>
      </c>
      <c r="E16" s="52" t="s">
        <v>91</v>
      </c>
      <c r="F16" s="74" t="s">
        <v>69</v>
      </c>
      <c r="G16" s="75">
        <v>80130</v>
      </c>
      <c r="H16" s="74" t="s">
        <v>5</v>
      </c>
      <c r="I16" s="53">
        <v>11184431</v>
      </c>
      <c r="J16" s="54">
        <f t="shared" si="0"/>
        <v>2635599.9807190001</v>
      </c>
      <c r="K16" s="54">
        <f t="shared" si="1"/>
        <v>13820030.980719</v>
      </c>
      <c r="L16" s="58" t="s">
        <v>124</v>
      </c>
      <c r="M16" s="56">
        <f t="shared" si="2"/>
        <v>691001.5490359501</v>
      </c>
      <c r="N16" s="76" t="s">
        <v>124</v>
      </c>
      <c r="O16" s="78"/>
      <c r="P16" s="59" t="s">
        <v>124</v>
      </c>
      <c r="Q16" s="164" t="s">
        <v>124</v>
      </c>
      <c r="R16" s="164" t="s">
        <v>124</v>
      </c>
      <c r="S16" s="57"/>
      <c r="T16" s="57"/>
    </row>
    <row r="17" spans="2:20" x14ac:dyDescent="0.25">
      <c r="B17" s="50">
        <v>13</v>
      </c>
      <c r="C17" s="51" t="s">
        <v>55</v>
      </c>
      <c r="D17" s="51" t="s">
        <v>33</v>
      </c>
      <c r="E17" s="52" t="s">
        <v>18</v>
      </c>
      <c r="F17" s="74" t="s">
        <v>80</v>
      </c>
      <c r="G17" s="75">
        <v>81600</v>
      </c>
      <c r="H17" s="74" t="s">
        <v>35</v>
      </c>
      <c r="I17" s="53">
        <v>5772020.80688</v>
      </c>
      <c r="J17" s="54">
        <f t="shared" si="0"/>
        <v>1360170.931120465</v>
      </c>
      <c r="K17" s="54">
        <f t="shared" si="1"/>
        <v>7132191.7380004656</v>
      </c>
      <c r="L17" s="58" t="s">
        <v>124</v>
      </c>
      <c r="M17" s="56">
        <f t="shared" si="2"/>
        <v>356609.58690002328</v>
      </c>
      <c r="N17" s="76" t="s">
        <v>124</v>
      </c>
      <c r="O17" s="78"/>
      <c r="P17" s="59" t="s">
        <v>124</v>
      </c>
      <c r="Q17" s="164" t="s">
        <v>124</v>
      </c>
      <c r="R17" s="164" t="s">
        <v>124</v>
      </c>
      <c r="S17" s="57"/>
      <c r="T17" s="57"/>
    </row>
    <row r="18" spans="2:20" x14ac:dyDescent="0.25">
      <c r="B18" s="50">
        <v>14</v>
      </c>
      <c r="C18" s="51" t="s">
        <v>55</v>
      </c>
      <c r="D18" s="51" t="s">
        <v>33</v>
      </c>
      <c r="E18" s="52" t="s">
        <v>7</v>
      </c>
      <c r="F18" s="74" t="s">
        <v>68</v>
      </c>
      <c r="G18" s="75">
        <v>80450</v>
      </c>
      <c r="H18" s="74" t="s">
        <v>42</v>
      </c>
      <c r="I18" s="53">
        <v>1017865</v>
      </c>
      <c r="J18" s="54">
        <f t="shared" si="0"/>
        <v>239858.869385</v>
      </c>
      <c r="K18" s="54">
        <f t="shared" si="1"/>
        <v>1257723.8693850001</v>
      </c>
      <c r="L18" s="58" t="s">
        <v>124</v>
      </c>
      <c r="M18" s="56">
        <f t="shared" si="2"/>
        <v>62886.193469250007</v>
      </c>
      <c r="N18" s="76" t="s">
        <v>124</v>
      </c>
      <c r="O18" s="78"/>
      <c r="P18" s="59" t="s">
        <v>124</v>
      </c>
      <c r="Q18" s="164" t="s">
        <v>124</v>
      </c>
      <c r="R18" s="164" t="s">
        <v>124</v>
      </c>
      <c r="S18" s="57"/>
      <c r="T18" s="57"/>
    </row>
    <row r="19" spans="2:20" x14ac:dyDescent="0.25">
      <c r="B19" s="60">
        <v>15</v>
      </c>
      <c r="C19" s="51" t="s">
        <v>55</v>
      </c>
      <c r="D19" s="51" t="s">
        <v>33</v>
      </c>
      <c r="E19" s="52" t="s">
        <v>13</v>
      </c>
      <c r="F19" s="74" t="s">
        <v>82</v>
      </c>
      <c r="G19" s="75">
        <v>82700</v>
      </c>
      <c r="H19" s="74" t="s">
        <v>43</v>
      </c>
      <c r="I19" s="53">
        <v>4967425</v>
      </c>
      <c r="J19" s="54">
        <f t="shared" si="0"/>
        <v>1170568.733825</v>
      </c>
      <c r="K19" s="54">
        <f t="shared" si="1"/>
        <v>6137993.733825</v>
      </c>
      <c r="L19" s="58" t="s">
        <v>124</v>
      </c>
      <c r="M19" s="56">
        <f t="shared" si="2"/>
        <v>306899.68669125001</v>
      </c>
      <c r="N19" s="76" t="s">
        <v>124</v>
      </c>
      <c r="O19" s="78"/>
      <c r="P19" s="59" t="s">
        <v>124</v>
      </c>
      <c r="Q19" s="164" t="s">
        <v>124</v>
      </c>
      <c r="R19" s="164" t="s">
        <v>124</v>
      </c>
      <c r="S19" s="57"/>
      <c r="T19" s="57"/>
    </row>
    <row r="20" spans="2:20" x14ac:dyDescent="0.25">
      <c r="B20" s="50">
        <v>16</v>
      </c>
      <c r="C20" s="51" t="s">
        <v>55</v>
      </c>
      <c r="D20" s="51" t="s">
        <v>33</v>
      </c>
      <c r="E20" s="52" t="s">
        <v>27</v>
      </c>
      <c r="F20" s="74" t="s">
        <v>81</v>
      </c>
      <c r="G20" s="75">
        <v>80500</v>
      </c>
      <c r="H20" s="74" t="s">
        <v>12</v>
      </c>
      <c r="I20" s="53">
        <v>3490209</v>
      </c>
      <c r="J20" s="54">
        <f t="shared" si="0"/>
        <v>822464.260641</v>
      </c>
      <c r="K20" s="54">
        <f t="shared" si="1"/>
        <v>4312673.2606410002</v>
      </c>
      <c r="L20" s="58" t="s">
        <v>124</v>
      </c>
      <c r="M20" s="56">
        <f t="shared" si="2"/>
        <v>215633.66303205001</v>
      </c>
      <c r="N20" s="76" t="s">
        <v>124</v>
      </c>
      <c r="O20" s="78"/>
      <c r="P20" s="59" t="s">
        <v>124</v>
      </c>
      <c r="Q20" s="164" t="s">
        <v>124</v>
      </c>
      <c r="R20" s="164" t="s">
        <v>124</v>
      </c>
      <c r="S20" s="57"/>
      <c r="T20" s="57"/>
    </row>
    <row r="21" spans="2:20" x14ac:dyDescent="0.25">
      <c r="B21" s="50">
        <v>17</v>
      </c>
      <c r="C21" s="51" t="s">
        <v>55</v>
      </c>
      <c r="D21" s="51" t="s">
        <v>33</v>
      </c>
      <c r="E21" s="52" t="s">
        <v>23</v>
      </c>
      <c r="F21" s="74" t="s">
        <v>57</v>
      </c>
      <c r="G21" s="75">
        <v>81700</v>
      </c>
      <c r="H21" s="74" t="s">
        <v>44</v>
      </c>
      <c r="I21" s="53">
        <v>3100500</v>
      </c>
      <c r="J21" s="54">
        <f t="shared" si="0"/>
        <v>730629.72450000001</v>
      </c>
      <c r="K21" s="54">
        <f t="shared" si="1"/>
        <v>3831129.7245</v>
      </c>
      <c r="L21" s="58" t="s">
        <v>124</v>
      </c>
      <c r="M21" s="56">
        <f t="shared" si="2"/>
        <v>191556.486225</v>
      </c>
      <c r="N21" s="76" t="s">
        <v>124</v>
      </c>
      <c r="O21" s="78"/>
      <c r="P21" s="59" t="s">
        <v>124</v>
      </c>
      <c r="Q21" s="164" t="s">
        <v>124</v>
      </c>
      <c r="R21" s="164" t="s">
        <v>124</v>
      </c>
      <c r="S21" s="57"/>
      <c r="T21" s="57"/>
    </row>
    <row r="22" spans="2:20" x14ac:dyDescent="0.25">
      <c r="B22" s="60">
        <v>18</v>
      </c>
      <c r="C22" s="51" t="s">
        <v>55</v>
      </c>
      <c r="D22" s="51" t="s">
        <v>33</v>
      </c>
      <c r="E22" s="52" t="s">
        <v>21</v>
      </c>
      <c r="F22" s="74" t="s">
        <v>76</v>
      </c>
      <c r="G22" s="75">
        <v>82600</v>
      </c>
      <c r="H22" s="74" t="s">
        <v>45</v>
      </c>
      <c r="I22" s="53">
        <v>3360942</v>
      </c>
      <c r="J22" s="54">
        <f t="shared" si="0"/>
        <v>792002.62135799997</v>
      </c>
      <c r="K22" s="54">
        <f t="shared" si="1"/>
        <v>4152944.6213579997</v>
      </c>
      <c r="L22" s="58" t="s">
        <v>124</v>
      </c>
      <c r="M22" s="56">
        <f t="shared" si="2"/>
        <v>207647.23106789999</v>
      </c>
      <c r="N22" s="76" t="s">
        <v>124</v>
      </c>
      <c r="O22" s="78"/>
      <c r="P22" s="59" t="s">
        <v>124</v>
      </c>
      <c r="Q22" s="164" t="s">
        <v>124</v>
      </c>
      <c r="R22" s="164" t="s">
        <v>124</v>
      </c>
      <c r="S22" s="57"/>
      <c r="T22" s="57"/>
    </row>
    <row r="23" spans="2:20" x14ac:dyDescent="0.25">
      <c r="B23" s="50">
        <v>19</v>
      </c>
      <c r="C23" s="51" t="s">
        <v>55</v>
      </c>
      <c r="D23" s="51" t="s">
        <v>33</v>
      </c>
      <c r="E23" s="52" t="s">
        <v>14</v>
      </c>
      <c r="F23" s="74" t="s">
        <v>72</v>
      </c>
      <c r="G23" s="75">
        <v>80700</v>
      </c>
      <c r="H23" s="74" t="s">
        <v>46</v>
      </c>
      <c r="I23" s="53">
        <v>9256862.9626439996</v>
      </c>
      <c r="J23" s="54">
        <f t="shared" si="0"/>
        <v>2181370.5002840958</v>
      </c>
      <c r="K23" s="54">
        <f t="shared" si="1"/>
        <v>11438233.462928096</v>
      </c>
      <c r="L23" s="58" t="s">
        <v>124</v>
      </c>
      <c r="M23" s="56">
        <f t="shared" si="2"/>
        <v>571911.67314640479</v>
      </c>
      <c r="N23" s="76" t="s">
        <v>124</v>
      </c>
      <c r="O23" s="78"/>
      <c r="P23" s="59" t="s">
        <v>124</v>
      </c>
      <c r="Q23" s="164" t="s">
        <v>124</v>
      </c>
      <c r="R23" s="164" t="s">
        <v>124</v>
      </c>
      <c r="S23" s="57"/>
      <c r="T23" s="57"/>
    </row>
    <row r="24" spans="2:20" x14ac:dyDescent="0.25">
      <c r="B24" s="50">
        <v>20</v>
      </c>
      <c r="C24" s="51" t="s">
        <v>55</v>
      </c>
      <c r="D24" s="51" t="s">
        <v>33</v>
      </c>
      <c r="E24" s="52" t="s">
        <v>17</v>
      </c>
      <c r="F24" s="74" t="s">
        <v>67</v>
      </c>
      <c r="G24" s="75">
        <v>80000</v>
      </c>
      <c r="H24" s="74" t="s">
        <v>40</v>
      </c>
      <c r="I24" s="53">
        <v>575816044.49227679</v>
      </c>
      <c r="J24" s="54">
        <f t="shared" si="0"/>
        <v>135690475.06856054</v>
      </c>
      <c r="K24" s="54">
        <f t="shared" si="1"/>
        <v>711506519.56083727</v>
      </c>
      <c r="L24" s="79" t="s">
        <v>124</v>
      </c>
      <c r="M24" s="56">
        <f t="shared" si="2"/>
        <v>35575325.978041865</v>
      </c>
      <c r="N24" s="80" t="s">
        <v>124</v>
      </c>
      <c r="O24" s="81"/>
      <c r="P24" s="82" t="s">
        <v>124</v>
      </c>
      <c r="Q24" s="166" t="s">
        <v>124</v>
      </c>
      <c r="R24" s="166" t="s">
        <v>124</v>
      </c>
      <c r="S24" s="83"/>
      <c r="T24" s="84">
        <v>7839846</v>
      </c>
    </row>
    <row r="25" spans="2:20" x14ac:dyDescent="0.25">
      <c r="B25" s="60">
        <v>21</v>
      </c>
      <c r="C25" s="51" t="s">
        <v>55</v>
      </c>
      <c r="D25" s="51" t="s">
        <v>33</v>
      </c>
      <c r="E25" s="52" t="s">
        <v>25</v>
      </c>
      <c r="F25" s="74" t="s">
        <v>77</v>
      </c>
      <c r="G25" s="75">
        <v>82400</v>
      </c>
      <c r="H25" s="74" t="s">
        <v>11</v>
      </c>
      <c r="I25" s="53">
        <v>6457721.4000000004</v>
      </c>
      <c r="J25" s="54">
        <f t="shared" si="0"/>
        <v>1521755.5901886001</v>
      </c>
      <c r="K25" s="54">
        <f t="shared" si="1"/>
        <v>7979476.9901886005</v>
      </c>
      <c r="L25" s="58" t="s">
        <v>124</v>
      </c>
      <c r="M25" s="56">
        <f t="shared" si="2"/>
        <v>398973.84950943006</v>
      </c>
      <c r="N25" s="76" t="s">
        <v>124</v>
      </c>
      <c r="O25" s="78"/>
      <c r="P25" s="59" t="s">
        <v>124</v>
      </c>
      <c r="Q25" s="164" t="s">
        <v>124</v>
      </c>
      <c r="R25" s="164" t="s">
        <v>124</v>
      </c>
      <c r="S25" s="57"/>
      <c r="T25" s="57"/>
    </row>
    <row r="26" spans="2:20" x14ac:dyDescent="0.25">
      <c r="B26" s="50">
        <v>22</v>
      </c>
      <c r="C26" s="51" t="s">
        <v>55</v>
      </c>
      <c r="D26" s="51" t="s">
        <v>33</v>
      </c>
      <c r="E26" s="52" t="s">
        <v>19</v>
      </c>
      <c r="F26" s="74" t="s">
        <v>78</v>
      </c>
      <c r="G26" s="75">
        <v>82400</v>
      </c>
      <c r="H26" s="74" t="s">
        <v>47</v>
      </c>
      <c r="I26" s="53">
        <v>6071733</v>
      </c>
      <c r="J26" s="54">
        <f t="shared" si="0"/>
        <v>1430797.809717</v>
      </c>
      <c r="K26" s="54">
        <f t="shared" si="1"/>
        <v>7502530.8097169995</v>
      </c>
      <c r="L26" s="58" t="s">
        <v>124</v>
      </c>
      <c r="M26" s="56">
        <f t="shared" si="2"/>
        <v>375126.54048585001</v>
      </c>
      <c r="N26" s="76" t="s">
        <v>124</v>
      </c>
      <c r="O26" s="78"/>
      <c r="P26" s="59" t="s">
        <v>124</v>
      </c>
      <c r="Q26" s="164" t="s">
        <v>124</v>
      </c>
      <c r="R26" s="164" t="s">
        <v>124</v>
      </c>
      <c r="S26" s="57"/>
      <c r="T26" s="57"/>
    </row>
    <row r="27" spans="2:20" x14ac:dyDescent="0.25">
      <c r="B27" s="50">
        <v>23</v>
      </c>
      <c r="C27" s="51" t="s">
        <v>55</v>
      </c>
      <c r="D27" s="51" t="s">
        <v>33</v>
      </c>
      <c r="E27" s="52" t="s">
        <v>15</v>
      </c>
      <c r="F27" s="74" t="s">
        <v>62</v>
      </c>
      <c r="G27" s="75">
        <v>81460</v>
      </c>
      <c r="H27" s="74" t="s">
        <v>48</v>
      </c>
      <c r="I27" s="53">
        <v>16809308.926599998</v>
      </c>
      <c r="J27" s="54">
        <f t="shared" si="0"/>
        <v>3961096.8392443629</v>
      </c>
      <c r="K27" s="54">
        <f t="shared" si="1"/>
        <v>20770405.76584436</v>
      </c>
      <c r="L27" s="58" t="s">
        <v>124</v>
      </c>
      <c r="M27" s="56">
        <f t="shared" si="2"/>
        <v>1038520.288292218</v>
      </c>
      <c r="N27" s="76" t="s">
        <v>124</v>
      </c>
      <c r="O27" s="78"/>
      <c r="P27" s="59" t="s">
        <v>124</v>
      </c>
      <c r="Q27" s="164" t="s">
        <v>124</v>
      </c>
      <c r="R27" s="164" t="s">
        <v>124</v>
      </c>
      <c r="S27" s="57"/>
      <c r="T27" s="57"/>
    </row>
    <row r="28" spans="2:20" x14ac:dyDescent="0.25">
      <c r="B28" s="60">
        <v>24</v>
      </c>
      <c r="C28" s="51" t="s">
        <v>55</v>
      </c>
      <c r="D28" s="51" t="s">
        <v>33</v>
      </c>
      <c r="E28" s="52" t="s">
        <v>24</v>
      </c>
      <c r="F28" s="74" t="s">
        <v>61</v>
      </c>
      <c r="G28" s="75">
        <v>81110</v>
      </c>
      <c r="H28" s="74" t="s">
        <v>4</v>
      </c>
      <c r="I28" s="53">
        <v>14946159.000000002</v>
      </c>
      <c r="J28" s="54">
        <f t="shared" si="0"/>
        <v>3522047.4221910005</v>
      </c>
      <c r="K28" s="54">
        <f t="shared" si="1"/>
        <v>18468206.422191001</v>
      </c>
      <c r="L28" s="58" t="s">
        <v>124</v>
      </c>
      <c r="M28" s="56">
        <f t="shared" si="2"/>
        <v>923410.32110955007</v>
      </c>
      <c r="N28" s="76" t="s">
        <v>124</v>
      </c>
      <c r="O28" s="78"/>
      <c r="P28" s="59" t="s">
        <v>124</v>
      </c>
      <c r="Q28" s="164" t="s">
        <v>124</v>
      </c>
      <c r="R28" s="164" t="s">
        <v>124</v>
      </c>
      <c r="S28" s="57"/>
      <c r="T28" s="57"/>
    </row>
    <row r="29" spans="2:20" x14ac:dyDescent="0.25">
      <c r="B29" s="50">
        <v>25</v>
      </c>
      <c r="C29" s="51" t="s">
        <v>55</v>
      </c>
      <c r="D29" s="51" t="s">
        <v>33</v>
      </c>
      <c r="E29" s="52" t="s">
        <v>26</v>
      </c>
      <c r="F29" s="74" t="s">
        <v>59</v>
      </c>
      <c r="G29" s="75">
        <v>81200</v>
      </c>
      <c r="H29" s="74" t="s">
        <v>2</v>
      </c>
      <c r="I29" s="53">
        <v>29282500</v>
      </c>
      <c r="J29" s="54">
        <f t="shared" si="0"/>
        <v>6900391.8425000003</v>
      </c>
      <c r="K29" s="54">
        <f t="shared" si="1"/>
        <v>36182891.842500001</v>
      </c>
      <c r="L29" s="58" t="s">
        <v>124</v>
      </c>
      <c r="M29" s="56">
        <f t="shared" si="2"/>
        <v>1809144.5921250002</v>
      </c>
      <c r="N29" s="76" t="s">
        <v>124</v>
      </c>
      <c r="O29" s="78"/>
      <c r="P29" s="59" t="s">
        <v>124</v>
      </c>
      <c r="Q29" s="164" t="s">
        <v>124</v>
      </c>
      <c r="R29" s="164" t="s">
        <v>124</v>
      </c>
      <c r="S29" s="57"/>
      <c r="T29" s="57"/>
    </row>
    <row r="30" spans="2:20" x14ac:dyDescent="0.25">
      <c r="B30" s="50">
        <v>26</v>
      </c>
      <c r="C30" s="51" t="s">
        <v>55</v>
      </c>
      <c r="D30" s="51" t="s">
        <v>33</v>
      </c>
      <c r="E30" s="52" t="s">
        <v>22</v>
      </c>
      <c r="F30" s="74" t="s">
        <v>74</v>
      </c>
      <c r="G30" s="75">
        <v>82017</v>
      </c>
      <c r="H30" s="74" t="s">
        <v>41</v>
      </c>
      <c r="I30" s="53">
        <v>23568570</v>
      </c>
      <c r="J30" s="54">
        <f t="shared" si="0"/>
        <v>5553909.9519299995</v>
      </c>
      <c r="K30" s="54">
        <f t="shared" si="1"/>
        <v>29122479.951930001</v>
      </c>
      <c r="L30" s="58" t="s">
        <v>124</v>
      </c>
      <c r="M30" s="56">
        <f t="shared" si="2"/>
        <v>1456123.9975965002</v>
      </c>
      <c r="N30" s="76" t="s">
        <v>124</v>
      </c>
      <c r="O30" s="78"/>
      <c r="P30" s="59" t="s">
        <v>124</v>
      </c>
      <c r="Q30" s="164" t="s">
        <v>124</v>
      </c>
      <c r="R30" s="164" t="s">
        <v>124</v>
      </c>
      <c r="S30" s="57"/>
      <c r="T30" s="57"/>
    </row>
    <row r="31" spans="2:20" x14ac:dyDescent="0.25">
      <c r="B31" s="60">
        <v>27</v>
      </c>
      <c r="C31" s="51" t="s">
        <v>55</v>
      </c>
      <c r="D31" s="51" t="s">
        <v>33</v>
      </c>
      <c r="E31" s="52" t="s">
        <v>16</v>
      </c>
      <c r="F31" s="74" t="s">
        <v>79</v>
      </c>
      <c r="G31" s="75">
        <v>80800</v>
      </c>
      <c r="H31" s="74" t="s">
        <v>49</v>
      </c>
      <c r="I31" s="53">
        <v>7209902.7000000002</v>
      </c>
      <c r="J31" s="54">
        <f t="shared" si="0"/>
        <v>1699006.3613523</v>
      </c>
      <c r="K31" s="54">
        <f t="shared" si="1"/>
        <v>8908909.0613522995</v>
      </c>
      <c r="L31" s="58" t="s">
        <v>124</v>
      </c>
      <c r="M31" s="56">
        <f t="shared" si="2"/>
        <v>445445.45306761499</v>
      </c>
      <c r="N31" s="76" t="s">
        <v>124</v>
      </c>
      <c r="O31" s="78"/>
      <c r="P31" s="59" t="s">
        <v>124</v>
      </c>
      <c r="Q31" s="164" t="s">
        <v>124</v>
      </c>
      <c r="R31" s="164" t="s">
        <v>124</v>
      </c>
      <c r="S31" s="57"/>
      <c r="T31" s="57"/>
    </row>
    <row r="32" spans="2:20" x14ac:dyDescent="0.25">
      <c r="B32" s="50">
        <v>28</v>
      </c>
      <c r="C32" s="51" t="s">
        <v>55</v>
      </c>
      <c r="D32" s="51" t="s">
        <v>33</v>
      </c>
      <c r="E32" s="52" t="s">
        <v>0</v>
      </c>
      <c r="F32" s="74" t="s">
        <v>73</v>
      </c>
      <c r="G32" s="75">
        <v>82910</v>
      </c>
      <c r="H32" s="74" t="s">
        <v>50</v>
      </c>
      <c r="I32" s="53">
        <v>2807557.8615994998</v>
      </c>
      <c r="J32" s="54">
        <f t="shared" si="0"/>
        <v>661598.20252806053</v>
      </c>
      <c r="K32" s="54">
        <f t="shared" si="1"/>
        <v>3469156.0641275602</v>
      </c>
      <c r="L32" s="58" t="s">
        <v>124</v>
      </c>
      <c r="M32" s="56">
        <f t="shared" si="2"/>
        <v>173457.80320637801</v>
      </c>
      <c r="N32" s="76" t="s">
        <v>124</v>
      </c>
      <c r="O32" s="78"/>
      <c r="P32" s="59" t="s">
        <v>124</v>
      </c>
      <c r="Q32" s="164" t="s">
        <v>124</v>
      </c>
      <c r="R32" s="164" t="s">
        <v>124</v>
      </c>
      <c r="S32" s="57"/>
      <c r="T32" s="57"/>
    </row>
    <row r="33" spans="2:20" x14ac:dyDescent="0.25">
      <c r="B33" s="50">
        <v>29</v>
      </c>
      <c r="C33" s="51" t="s">
        <v>55</v>
      </c>
      <c r="D33" s="51" t="s">
        <v>33</v>
      </c>
      <c r="E33" s="52" t="s">
        <v>20</v>
      </c>
      <c r="F33" s="74" t="s">
        <v>60</v>
      </c>
      <c r="G33" s="75">
        <v>81900</v>
      </c>
      <c r="H33" s="74" t="s">
        <v>51</v>
      </c>
      <c r="I33" s="53">
        <v>6395234.4000000004</v>
      </c>
      <c r="J33" s="54">
        <f t="shared" si="0"/>
        <v>1507030.5911256</v>
      </c>
      <c r="K33" s="54">
        <f t="shared" si="1"/>
        <v>7902264.9911256004</v>
      </c>
      <c r="L33" s="58" t="s">
        <v>124</v>
      </c>
      <c r="M33" s="56">
        <f t="shared" si="2"/>
        <v>395113.24955628003</v>
      </c>
      <c r="N33" s="76" t="s">
        <v>124</v>
      </c>
      <c r="O33" s="78"/>
      <c r="P33" s="59" t="s">
        <v>124</v>
      </c>
      <c r="Q33" s="164" t="s">
        <v>124</v>
      </c>
      <c r="R33" s="164" t="s">
        <v>124</v>
      </c>
      <c r="S33" s="57"/>
      <c r="T33" s="57"/>
    </row>
    <row r="34" spans="2:20" x14ac:dyDescent="0.25">
      <c r="B34" s="60">
        <v>30</v>
      </c>
      <c r="C34" s="51" t="s">
        <v>55</v>
      </c>
      <c r="D34" s="51" t="s">
        <v>107</v>
      </c>
      <c r="E34" s="52" t="s">
        <v>10</v>
      </c>
      <c r="F34" s="74" t="s">
        <v>75</v>
      </c>
      <c r="G34" s="75">
        <v>80308</v>
      </c>
      <c r="H34" s="74" t="s">
        <v>41</v>
      </c>
      <c r="I34" s="53">
        <v>9870800.8488500006</v>
      </c>
      <c r="J34" s="54">
        <f t="shared" si="0"/>
        <v>2326044.3492306536</v>
      </c>
      <c r="K34" s="54">
        <f t="shared" si="1"/>
        <v>12196845.198080655</v>
      </c>
      <c r="L34" s="79" t="s">
        <v>124</v>
      </c>
      <c r="M34" s="85">
        <f t="shared" si="2"/>
        <v>609842.25990403281</v>
      </c>
      <c r="N34" s="80" t="s">
        <v>124</v>
      </c>
      <c r="O34" s="81"/>
      <c r="P34" s="82" t="s">
        <v>124</v>
      </c>
      <c r="Q34" s="166" t="s">
        <v>124</v>
      </c>
      <c r="R34" s="166" t="s">
        <v>124</v>
      </c>
      <c r="S34" s="83"/>
      <c r="T34" s="83"/>
    </row>
    <row r="35" spans="2:20" s="3" customFormat="1" x14ac:dyDescent="0.25">
      <c r="B35" s="50">
        <v>31</v>
      </c>
      <c r="C35" s="63" t="s">
        <v>55</v>
      </c>
      <c r="D35" s="63" t="s">
        <v>110</v>
      </c>
      <c r="E35" s="64" t="s">
        <v>92</v>
      </c>
      <c r="F35" s="86" t="s">
        <v>56</v>
      </c>
      <c r="G35" s="87">
        <v>80308</v>
      </c>
      <c r="H35" s="86" t="s">
        <v>5</v>
      </c>
      <c r="I35" s="53">
        <v>65736347.004671201</v>
      </c>
      <c r="J35" s="54">
        <f t="shared" si="0"/>
        <v>15490704.435303764</v>
      </c>
      <c r="K35" s="54">
        <f t="shared" si="1"/>
        <v>81227051.439974964</v>
      </c>
      <c r="L35" s="58" t="s">
        <v>124</v>
      </c>
      <c r="M35" s="56">
        <f t="shared" si="2"/>
        <v>4061352.5719987485</v>
      </c>
      <c r="N35" s="76" t="s">
        <v>124</v>
      </c>
      <c r="O35" s="78"/>
      <c r="P35" s="59" t="s">
        <v>124</v>
      </c>
      <c r="Q35" s="164" t="s">
        <v>124</v>
      </c>
      <c r="R35" s="164" t="s">
        <v>124</v>
      </c>
      <c r="S35" s="57"/>
      <c r="T35" s="57"/>
    </row>
    <row r="36" spans="2:20" x14ac:dyDescent="0.25">
      <c r="B36" s="50">
        <v>32</v>
      </c>
      <c r="C36" s="51" t="s">
        <v>55</v>
      </c>
      <c r="D36" s="51" t="s">
        <v>29</v>
      </c>
      <c r="E36" s="64" t="s">
        <v>1</v>
      </c>
      <c r="F36" s="86" t="s">
        <v>88</v>
      </c>
      <c r="G36" s="75">
        <v>80100</v>
      </c>
      <c r="H36" s="74" t="s">
        <v>40</v>
      </c>
      <c r="I36" s="53">
        <v>121067032.11228</v>
      </c>
      <c r="J36" s="54">
        <f t="shared" si="0"/>
        <v>28529325.05022667</v>
      </c>
      <c r="K36" s="54">
        <f t="shared" si="1"/>
        <v>149596357.16250667</v>
      </c>
      <c r="L36" s="58" t="s">
        <v>124</v>
      </c>
      <c r="M36" s="56">
        <f t="shared" si="2"/>
        <v>7479817.8581253337</v>
      </c>
      <c r="N36" s="76" t="s">
        <v>124</v>
      </c>
      <c r="O36" s="78"/>
      <c r="P36" s="59" t="s">
        <v>124</v>
      </c>
      <c r="Q36" s="164" t="s">
        <v>124</v>
      </c>
      <c r="R36" s="164" t="s">
        <v>124</v>
      </c>
      <c r="S36" s="57"/>
      <c r="T36" s="57"/>
    </row>
    <row r="37" spans="2:20" x14ac:dyDescent="0.25">
      <c r="B37" s="60">
        <v>33</v>
      </c>
      <c r="C37" s="63" t="s">
        <v>55</v>
      </c>
      <c r="D37" s="63" t="s">
        <v>31</v>
      </c>
      <c r="E37" s="64" t="s">
        <v>98</v>
      </c>
      <c r="F37" s="86" t="s">
        <v>99</v>
      </c>
      <c r="G37" s="87">
        <v>3100</v>
      </c>
      <c r="H37" s="86" t="s">
        <v>100</v>
      </c>
      <c r="I37" s="53">
        <v>6032195</v>
      </c>
      <c r="J37" s="54">
        <f t="shared" si="0"/>
        <v>1421480.7195550001</v>
      </c>
      <c r="K37" s="54">
        <f t="shared" si="1"/>
        <v>7453675.7195549998</v>
      </c>
      <c r="L37" s="58" t="s">
        <v>124</v>
      </c>
      <c r="M37" s="56">
        <f t="shared" si="2"/>
        <v>372683.78597775003</v>
      </c>
      <c r="N37" s="76" t="s">
        <v>124</v>
      </c>
      <c r="O37" s="78"/>
      <c r="P37" s="59" t="s">
        <v>124</v>
      </c>
      <c r="Q37" s="164" t="s">
        <v>124</v>
      </c>
      <c r="R37" s="164" t="s">
        <v>124</v>
      </c>
      <c r="S37" s="57"/>
      <c r="T37" s="57"/>
    </row>
    <row r="38" spans="2:20" x14ac:dyDescent="0.25">
      <c r="B38" s="50">
        <v>34</v>
      </c>
      <c r="C38" s="63" t="s">
        <v>55</v>
      </c>
      <c r="D38" s="63" t="s">
        <v>31</v>
      </c>
      <c r="E38" s="64" t="s">
        <v>102</v>
      </c>
      <c r="F38" s="86" t="s">
        <v>103</v>
      </c>
      <c r="G38" s="87">
        <v>82010</v>
      </c>
      <c r="H38" s="86" t="s">
        <v>101</v>
      </c>
      <c r="I38" s="53">
        <v>3519560.4</v>
      </c>
      <c r="J38" s="54">
        <f t="shared" si="0"/>
        <v>829380.88869960001</v>
      </c>
      <c r="K38" s="54">
        <f t="shared" si="1"/>
        <v>4348941.2886995999</v>
      </c>
      <c r="L38" s="58" t="s">
        <v>124</v>
      </c>
      <c r="M38" s="56">
        <f t="shared" si="2"/>
        <v>217447.06443498001</v>
      </c>
      <c r="N38" s="76" t="s">
        <v>124</v>
      </c>
      <c r="O38" s="78"/>
      <c r="P38" s="59" t="s">
        <v>124</v>
      </c>
      <c r="Q38" s="164" t="s">
        <v>124</v>
      </c>
      <c r="R38" s="164" t="s">
        <v>124</v>
      </c>
      <c r="S38" s="57"/>
      <c r="T38" s="57"/>
    </row>
    <row r="39" spans="2:20" x14ac:dyDescent="0.25">
      <c r="B39" s="50">
        <v>35</v>
      </c>
      <c r="C39" s="63" t="s">
        <v>55</v>
      </c>
      <c r="D39" s="63" t="s">
        <v>31</v>
      </c>
      <c r="E39" s="64" t="s">
        <v>492</v>
      </c>
      <c r="F39" s="86" t="s">
        <v>104</v>
      </c>
      <c r="G39" s="87">
        <v>80020</v>
      </c>
      <c r="H39" s="86" t="s">
        <v>5</v>
      </c>
      <c r="I39" s="53">
        <v>119254054.50000001</v>
      </c>
      <c r="J39" s="54">
        <f t="shared" si="0"/>
        <v>28102098.688870504</v>
      </c>
      <c r="K39" s="54">
        <f t="shared" si="1"/>
        <v>147356153.18887052</v>
      </c>
      <c r="L39" s="58" t="s">
        <v>124</v>
      </c>
      <c r="M39" s="56">
        <f t="shared" si="2"/>
        <v>7367807.6594435265</v>
      </c>
      <c r="N39" s="76" t="s">
        <v>124</v>
      </c>
      <c r="O39" s="78"/>
      <c r="P39" s="59" t="s">
        <v>124</v>
      </c>
      <c r="Q39" s="164" t="s">
        <v>124</v>
      </c>
      <c r="R39" s="164" t="s">
        <v>124</v>
      </c>
      <c r="S39" s="57"/>
      <c r="T39" s="57"/>
    </row>
    <row r="40" spans="2:20" x14ac:dyDescent="0.25">
      <c r="B40" s="50">
        <v>36</v>
      </c>
      <c r="C40" s="51" t="s">
        <v>83</v>
      </c>
      <c r="D40" s="51" t="s">
        <v>109</v>
      </c>
      <c r="E40" s="68" t="s">
        <v>108</v>
      </c>
      <c r="F40" s="51"/>
      <c r="G40" s="50">
        <v>80027</v>
      </c>
      <c r="H40" s="51" t="s">
        <v>40</v>
      </c>
      <c r="I40" s="53">
        <v>6618215.9999999991</v>
      </c>
      <c r="J40" s="54">
        <f t="shared" si="0"/>
        <v>1559575.9821839998</v>
      </c>
      <c r="K40" s="54">
        <f t="shared" si="1"/>
        <v>8177791.9821839985</v>
      </c>
      <c r="L40" s="58" t="s">
        <v>124</v>
      </c>
      <c r="M40" s="56">
        <f t="shared" si="2"/>
        <v>408889.59910919995</v>
      </c>
      <c r="N40" s="76" t="s">
        <v>124</v>
      </c>
      <c r="O40" s="78"/>
      <c r="P40" s="76" t="s">
        <v>124</v>
      </c>
      <c r="Q40" s="167" t="s">
        <v>124</v>
      </c>
      <c r="R40" s="167" t="s">
        <v>124</v>
      </c>
      <c r="S40" s="57"/>
      <c r="T40" s="57"/>
    </row>
    <row r="41" spans="2:20" ht="13.5" x14ac:dyDescent="0.25">
      <c r="B41" s="135">
        <v>36</v>
      </c>
      <c r="C41" s="143"/>
      <c r="D41" s="143"/>
      <c r="E41" s="144"/>
      <c r="F41" s="145" t="s">
        <v>600</v>
      </c>
      <c r="G41" s="135"/>
      <c r="H41" s="143"/>
      <c r="I41" s="320">
        <f t="shared" ref="I41:T41" si="3">SUM(I5:I40)</f>
        <v>1703039686.1862874</v>
      </c>
      <c r="J41" s="320">
        <f t="shared" si="3"/>
        <v>401319599.01011246</v>
      </c>
      <c r="K41" s="320">
        <f t="shared" si="3"/>
        <v>2104359285.196399</v>
      </c>
      <c r="L41" s="320">
        <f t="shared" si="3"/>
        <v>20000000</v>
      </c>
      <c r="M41" s="320">
        <f t="shared" si="3"/>
        <v>105217964.25981997</v>
      </c>
      <c r="N41" s="320">
        <f>+N3</f>
        <v>50000000</v>
      </c>
      <c r="O41" s="320">
        <f t="shared" ref="O41:R41" si="4">+O3</f>
        <v>20000000</v>
      </c>
      <c r="P41" s="320">
        <f t="shared" si="4"/>
        <v>1500000</v>
      </c>
      <c r="Q41" s="320">
        <f t="shared" si="4"/>
        <v>500000</v>
      </c>
      <c r="R41" s="320">
        <f t="shared" si="4"/>
        <v>500000</v>
      </c>
      <c r="S41" s="320">
        <f t="shared" si="3"/>
        <v>90000000</v>
      </c>
      <c r="T41" s="320">
        <f t="shared" si="3"/>
        <v>7839846</v>
      </c>
    </row>
    <row r="42" spans="2:20" x14ac:dyDescent="0.25">
      <c r="B42" s="99"/>
      <c r="C42" s="105"/>
      <c r="D42" s="105"/>
      <c r="E42" s="106"/>
      <c r="F42" s="107"/>
      <c r="G42" s="108"/>
      <c r="H42" s="105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</row>
    <row r="43" spans="2:20" ht="18" x14ac:dyDescent="0.25">
      <c r="C43" s="622" t="s">
        <v>589</v>
      </c>
      <c r="D43" s="622"/>
      <c r="E43" s="158" t="s">
        <v>125</v>
      </c>
      <c r="F43" s="9"/>
      <c r="G43" s="99"/>
      <c r="H43" s="9"/>
      <c r="I43" s="101"/>
      <c r="J43" s="90"/>
      <c r="K43" s="90"/>
      <c r="L43" s="91"/>
      <c r="M43" s="91"/>
      <c r="N43" s="91"/>
      <c r="O43" s="91"/>
      <c r="P43" s="91"/>
      <c r="Q43" s="91"/>
      <c r="R43" s="91"/>
      <c r="S43" s="91"/>
      <c r="T43" s="91"/>
    </row>
    <row r="44" spans="2:20" x14ac:dyDescent="0.25">
      <c r="B44" s="82">
        <v>39</v>
      </c>
      <c r="C44" s="57" t="s">
        <v>486</v>
      </c>
      <c r="D44" s="57" t="s">
        <v>31</v>
      </c>
      <c r="E44" s="83" t="s">
        <v>248</v>
      </c>
      <c r="F44" s="83" t="s">
        <v>249</v>
      </c>
      <c r="G44" s="82">
        <v>80370</v>
      </c>
      <c r="H44" s="83" t="s">
        <v>130</v>
      </c>
      <c r="I44" s="88"/>
      <c r="J44" s="54">
        <v>80000</v>
      </c>
      <c r="K44" s="54">
        <f>+I44+J44</f>
        <v>80000</v>
      </c>
      <c r="L44" s="58" t="s">
        <v>124</v>
      </c>
      <c r="M44" s="56">
        <f t="shared" ref="M44:M107" si="5">(I44+J44)*5%</f>
        <v>4000</v>
      </c>
      <c r="N44" s="76" t="s">
        <v>124</v>
      </c>
      <c r="O44" s="76" t="s">
        <v>124</v>
      </c>
      <c r="P44" s="76" t="s">
        <v>124</v>
      </c>
      <c r="Q44" s="76" t="s">
        <v>124</v>
      </c>
      <c r="R44" s="76" t="s">
        <v>124</v>
      </c>
      <c r="S44" s="83"/>
      <c r="T44" s="83"/>
    </row>
    <row r="45" spans="2:20" x14ac:dyDescent="0.25">
      <c r="B45" s="82">
        <v>40</v>
      </c>
      <c r="C45" s="57" t="s">
        <v>486</v>
      </c>
      <c r="D45" s="57" t="s">
        <v>31</v>
      </c>
      <c r="E45" s="83" t="s">
        <v>251</v>
      </c>
      <c r="F45" s="83" t="s">
        <v>252</v>
      </c>
      <c r="G45" s="82">
        <v>81820</v>
      </c>
      <c r="H45" s="83" t="s">
        <v>126</v>
      </c>
      <c r="I45" s="88"/>
      <c r="J45" s="54">
        <v>70000</v>
      </c>
      <c r="K45" s="54">
        <f t="shared" ref="K45:K108" si="6">+I45+J45</f>
        <v>70000</v>
      </c>
      <c r="L45" s="58" t="s">
        <v>124</v>
      </c>
      <c r="M45" s="56">
        <f t="shared" si="5"/>
        <v>3500</v>
      </c>
      <c r="N45" s="76" t="s">
        <v>124</v>
      </c>
      <c r="O45" s="76" t="s">
        <v>124</v>
      </c>
      <c r="P45" s="76" t="s">
        <v>124</v>
      </c>
      <c r="Q45" s="76" t="s">
        <v>124</v>
      </c>
      <c r="R45" s="76" t="s">
        <v>124</v>
      </c>
      <c r="S45" s="83"/>
      <c r="T45" s="83"/>
    </row>
    <row r="46" spans="2:20" x14ac:dyDescent="0.25">
      <c r="B46" s="82">
        <v>41</v>
      </c>
      <c r="C46" s="57" t="s">
        <v>486</v>
      </c>
      <c r="D46" s="57" t="s">
        <v>31</v>
      </c>
      <c r="E46" s="83" t="s">
        <v>253</v>
      </c>
      <c r="F46" s="83" t="s">
        <v>252</v>
      </c>
      <c r="G46" s="82">
        <v>81820</v>
      </c>
      <c r="H46" s="83" t="s">
        <v>126</v>
      </c>
      <c r="I46" s="88"/>
      <c r="J46" s="54">
        <v>70000</v>
      </c>
      <c r="K46" s="54">
        <f t="shared" si="6"/>
        <v>70000</v>
      </c>
      <c r="L46" s="58" t="s">
        <v>124</v>
      </c>
      <c r="M46" s="56">
        <f t="shared" si="5"/>
        <v>3500</v>
      </c>
      <c r="N46" s="76" t="s">
        <v>124</v>
      </c>
      <c r="O46" s="76" t="s">
        <v>124</v>
      </c>
      <c r="P46" s="76" t="s">
        <v>124</v>
      </c>
      <c r="Q46" s="76" t="s">
        <v>124</v>
      </c>
      <c r="R46" s="76" t="s">
        <v>124</v>
      </c>
      <c r="S46" s="83"/>
      <c r="T46" s="83"/>
    </row>
    <row r="47" spans="2:20" x14ac:dyDescent="0.25">
      <c r="B47" s="82">
        <v>42</v>
      </c>
      <c r="C47" s="57" t="s">
        <v>486</v>
      </c>
      <c r="D47" s="57" t="s">
        <v>31</v>
      </c>
      <c r="E47" s="83" t="s">
        <v>254</v>
      </c>
      <c r="F47" s="83" t="s">
        <v>252</v>
      </c>
      <c r="G47" s="82">
        <v>81820</v>
      </c>
      <c r="H47" s="83" t="s">
        <v>126</v>
      </c>
      <c r="I47" s="88"/>
      <c r="J47" s="54">
        <v>60000</v>
      </c>
      <c r="K47" s="54">
        <f t="shared" si="6"/>
        <v>60000</v>
      </c>
      <c r="L47" s="58" t="s">
        <v>124</v>
      </c>
      <c r="M47" s="56">
        <f t="shared" si="5"/>
        <v>3000</v>
      </c>
      <c r="N47" s="76" t="s">
        <v>124</v>
      </c>
      <c r="O47" s="76" t="s">
        <v>124</v>
      </c>
      <c r="P47" s="76" t="s">
        <v>124</v>
      </c>
      <c r="Q47" s="76" t="s">
        <v>124</v>
      </c>
      <c r="R47" s="76" t="s">
        <v>124</v>
      </c>
      <c r="S47" s="83"/>
      <c r="T47" s="83"/>
    </row>
    <row r="48" spans="2:20" x14ac:dyDescent="0.25">
      <c r="B48" s="82">
        <v>43</v>
      </c>
      <c r="C48" s="57" t="s">
        <v>486</v>
      </c>
      <c r="D48" s="57" t="s">
        <v>31</v>
      </c>
      <c r="E48" s="83" t="s">
        <v>255</v>
      </c>
      <c r="F48" s="83" t="s">
        <v>252</v>
      </c>
      <c r="G48" s="82">
        <v>81820</v>
      </c>
      <c r="H48" s="83" t="s">
        <v>126</v>
      </c>
      <c r="I48" s="88"/>
      <c r="J48" s="54">
        <v>60000</v>
      </c>
      <c r="K48" s="54">
        <f t="shared" si="6"/>
        <v>60000</v>
      </c>
      <c r="L48" s="58" t="s">
        <v>124</v>
      </c>
      <c r="M48" s="56">
        <f t="shared" si="5"/>
        <v>3000</v>
      </c>
      <c r="N48" s="76" t="s">
        <v>124</v>
      </c>
      <c r="O48" s="76" t="s">
        <v>124</v>
      </c>
      <c r="P48" s="76" t="s">
        <v>124</v>
      </c>
      <c r="Q48" s="76" t="s">
        <v>124</v>
      </c>
      <c r="R48" s="76" t="s">
        <v>124</v>
      </c>
      <c r="S48" s="83"/>
      <c r="T48" s="83"/>
    </row>
    <row r="49" spans="2:20" x14ac:dyDescent="0.25">
      <c r="B49" s="82">
        <v>44</v>
      </c>
      <c r="C49" s="57" t="s">
        <v>486</v>
      </c>
      <c r="D49" s="57" t="s">
        <v>31</v>
      </c>
      <c r="E49" s="83" t="s">
        <v>256</v>
      </c>
      <c r="F49" s="83" t="s">
        <v>252</v>
      </c>
      <c r="G49" s="82">
        <v>81820</v>
      </c>
      <c r="H49" s="83" t="s">
        <v>126</v>
      </c>
      <c r="I49" s="88"/>
      <c r="J49" s="54">
        <v>70000</v>
      </c>
      <c r="K49" s="54">
        <f t="shared" si="6"/>
        <v>70000</v>
      </c>
      <c r="L49" s="58" t="s">
        <v>124</v>
      </c>
      <c r="M49" s="56">
        <f t="shared" si="5"/>
        <v>3500</v>
      </c>
      <c r="N49" s="76" t="s">
        <v>124</v>
      </c>
      <c r="O49" s="76" t="s">
        <v>124</v>
      </c>
      <c r="P49" s="76" t="s">
        <v>124</v>
      </c>
      <c r="Q49" s="76" t="s">
        <v>124</v>
      </c>
      <c r="R49" s="76" t="s">
        <v>124</v>
      </c>
      <c r="S49" s="83"/>
      <c r="T49" s="83"/>
    </row>
    <row r="50" spans="2:20" x14ac:dyDescent="0.25">
      <c r="B50" s="82">
        <v>45</v>
      </c>
      <c r="C50" s="57" t="s">
        <v>486</v>
      </c>
      <c r="D50" s="57" t="s">
        <v>31</v>
      </c>
      <c r="E50" s="83" t="s">
        <v>257</v>
      </c>
      <c r="F50" s="83" t="s">
        <v>258</v>
      </c>
      <c r="G50" s="82">
        <v>81000</v>
      </c>
      <c r="H50" s="83" t="s">
        <v>4</v>
      </c>
      <c r="I50" s="88"/>
      <c r="J50" s="54">
        <v>320000</v>
      </c>
      <c r="K50" s="54">
        <f t="shared" si="6"/>
        <v>320000</v>
      </c>
      <c r="L50" s="58" t="s">
        <v>124</v>
      </c>
      <c r="M50" s="56">
        <f t="shared" si="5"/>
        <v>16000</v>
      </c>
      <c r="N50" s="76" t="s">
        <v>124</v>
      </c>
      <c r="O50" s="76" t="s">
        <v>124</v>
      </c>
      <c r="P50" s="76" t="s">
        <v>124</v>
      </c>
      <c r="Q50" s="76" t="s">
        <v>124</v>
      </c>
      <c r="R50" s="76" t="s">
        <v>124</v>
      </c>
      <c r="S50" s="83"/>
      <c r="T50" s="83"/>
    </row>
    <row r="51" spans="2:20" x14ac:dyDescent="0.25">
      <c r="B51" s="82">
        <v>46</v>
      </c>
      <c r="C51" s="57" t="s">
        <v>486</v>
      </c>
      <c r="D51" s="57" t="s">
        <v>31</v>
      </c>
      <c r="E51" s="83" t="s">
        <v>253</v>
      </c>
      <c r="F51" s="83" t="s">
        <v>260</v>
      </c>
      <c r="G51" s="82">
        <v>82700</v>
      </c>
      <c r="H51" s="83" t="s">
        <v>262</v>
      </c>
      <c r="I51" s="88"/>
      <c r="J51" s="54">
        <v>491500</v>
      </c>
      <c r="K51" s="54">
        <f t="shared" si="6"/>
        <v>491500</v>
      </c>
      <c r="L51" s="58" t="s">
        <v>124</v>
      </c>
      <c r="M51" s="56">
        <f t="shared" si="5"/>
        <v>24575</v>
      </c>
      <c r="N51" s="76" t="s">
        <v>124</v>
      </c>
      <c r="O51" s="76" t="s">
        <v>124</v>
      </c>
      <c r="P51" s="76" t="s">
        <v>124</v>
      </c>
      <c r="Q51" s="76" t="s">
        <v>124</v>
      </c>
      <c r="R51" s="76" t="s">
        <v>124</v>
      </c>
      <c r="S51" s="83"/>
      <c r="T51" s="83"/>
    </row>
    <row r="52" spans="2:20" x14ac:dyDescent="0.25">
      <c r="B52" s="82">
        <v>47</v>
      </c>
      <c r="C52" s="57" t="s">
        <v>486</v>
      </c>
      <c r="D52" s="57" t="s">
        <v>31</v>
      </c>
      <c r="E52" s="83" t="s">
        <v>493</v>
      </c>
      <c r="F52" s="83" t="s">
        <v>264</v>
      </c>
      <c r="G52" s="82">
        <v>82017</v>
      </c>
      <c r="H52" s="83" t="s">
        <v>101</v>
      </c>
      <c r="I52" s="88"/>
      <c r="J52" s="54">
        <v>960000</v>
      </c>
      <c r="K52" s="54">
        <f t="shared" si="6"/>
        <v>960000</v>
      </c>
      <c r="L52" s="58" t="s">
        <v>124</v>
      </c>
      <c r="M52" s="56">
        <f t="shared" si="5"/>
        <v>48000</v>
      </c>
      <c r="N52" s="76" t="s">
        <v>124</v>
      </c>
      <c r="O52" s="76" t="s">
        <v>124</v>
      </c>
      <c r="P52" s="76" t="s">
        <v>124</v>
      </c>
      <c r="Q52" s="76" t="s">
        <v>124</v>
      </c>
      <c r="R52" s="76" t="s">
        <v>124</v>
      </c>
      <c r="S52" s="83"/>
      <c r="T52" s="83"/>
    </row>
    <row r="53" spans="2:20" x14ac:dyDescent="0.25">
      <c r="B53" s="82">
        <v>48</v>
      </c>
      <c r="C53" s="57" t="s">
        <v>486</v>
      </c>
      <c r="D53" s="57" t="s">
        <v>31</v>
      </c>
      <c r="E53" s="83" t="s">
        <v>265</v>
      </c>
      <c r="F53" s="83" t="s">
        <v>266</v>
      </c>
      <c r="G53" s="82">
        <v>80379</v>
      </c>
      <c r="H53" s="83" t="s">
        <v>130</v>
      </c>
      <c r="I53" s="88"/>
      <c r="J53" s="54">
        <v>36200</v>
      </c>
      <c r="K53" s="54">
        <f t="shared" si="6"/>
        <v>36200</v>
      </c>
      <c r="L53" s="58" t="s">
        <v>124</v>
      </c>
      <c r="M53" s="56">
        <f t="shared" si="5"/>
        <v>1810</v>
      </c>
      <c r="N53" s="76" t="s">
        <v>124</v>
      </c>
      <c r="O53" s="76" t="s">
        <v>124</v>
      </c>
      <c r="P53" s="76" t="s">
        <v>124</v>
      </c>
      <c r="Q53" s="76" t="s">
        <v>124</v>
      </c>
      <c r="R53" s="76" t="s">
        <v>124</v>
      </c>
      <c r="S53" s="83"/>
      <c r="T53" s="83"/>
    </row>
    <row r="54" spans="2:20" x14ac:dyDescent="0.25">
      <c r="B54" s="82">
        <v>49</v>
      </c>
      <c r="C54" s="57" t="s">
        <v>486</v>
      </c>
      <c r="D54" s="57" t="s">
        <v>31</v>
      </c>
      <c r="E54" s="83" t="s">
        <v>268</v>
      </c>
      <c r="F54" s="83" t="s">
        <v>269</v>
      </c>
      <c r="G54" s="82">
        <v>81330</v>
      </c>
      <c r="H54" s="83" t="s">
        <v>34</v>
      </c>
      <c r="I54" s="88"/>
      <c r="J54" s="54">
        <v>100000</v>
      </c>
      <c r="K54" s="54">
        <f t="shared" si="6"/>
        <v>100000</v>
      </c>
      <c r="L54" s="58" t="s">
        <v>124</v>
      </c>
      <c r="M54" s="56">
        <f t="shared" si="5"/>
        <v>5000</v>
      </c>
      <c r="N54" s="76" t="s">
        <v>124</v>
      </c>
      <c r="O54" s="76" t="s">
        <v>124</v>
      </c>
      <c r="P54" s="76" t="s">
        <v>124</v>
      </c>
      <c r="Q54" s="76" t="s">
        <v>124</v>
      </c>
      <c r="R54" s="76" t="s">
        <v>124</v>
      </c>
      <c r="S54" s="83"/>
      <c r="T54" s="83"/>
    </row>
    <row r="55" spans="2:20" x14ac:dyDescent="0.25">
      <c r="B55" s="82">
        <v>50</v>
      </c>
      <c r="C55" s="57" t="s">
        <v>486</v>
      </c>
      <c r="D55" s="57" t="s">
        <v>31</v>
      </c>
      <c r="E55" s="83" t="s">
        <v>271</v>
      </c>
      <c r="F55" s="83" t="s">
        <v>272</v>
      </c>
      <c r="G55" s="82">
        <v>80128</v>
      </c>
      <c r="H55" s="83" t="s">
        <v>5</v>
      </c>
      <c r="I55" s="88"/>
      <c r="J55" s="54">
        <v>2772680</v>
      </c>
      <c r="K55" s="54">
        <f t="shared" si="6"/>
        <v>2772680</v>
      </c>
      <c r="L55" s="58" t="s">
        <v>124</v>
      </c>
      <c r="M55" s="56">
        <f t="shared" si="5"/>
        <v>138634</v>
      </c>
      <c r="N55" s="76" t="s">
        <v>124</v>
      </c>
      <c r="O55" s="76" t="s">
        <v>124</v>
      </c>
      <c r="P55" s="76" t="s">
        <v>124</v>
      </c>
      <c r="Q55" s="76" t="s">
        <v>124</v>
      </c>
      <c r="R55" s="76" t="s">
        <v>124</v>
      </c>
      <c r="S55" s="83"/>
      <c r="T55" s="83"/>
    </row>
    <row r="56" spans="2:20" x14ac:dyDescent="0.25">
      <c r="B56" s="82">
        <v>51</v>
      </c>
      <c r="C56" s="57" t="s">
        <v>486</v>
      </c>
      <c r="D56" s="57" t="s">
        <v>31</v>
      </c>
      <c r="E56" s="83" t="s">
        <v>274</v>
      </c>
      <c r="F56" s="83" t="s">
        <v>275</v>
      </c>
      <c r="G56" s="82">
        <v>81280</v>
      </c>
      <c r="H56" s="83" t="s">
        <v>34</v>
      </c>
      <c r="I56" s="88"/>
      <c r="J56" s="54">
        <v>1500000</v>
      </c>
      <c r="K56" s="54">
        <f t="shared" si="6"/>
        <v>1500000</v>
      </c>
      <c r="L56" s="58" t="s">
        <v>124</v>
      </c>
      <c r="M56" s="56">
        <f t="shared" si="5"/>
        <v>75000</v>
      </c>
      <c r="N56" s="76" t="s">
        <v>124</v>
      </c>
      <c r="O56" s="76" t="s">
        <v>124</v>
      </c>
      <c r="P56" s="76" t="s">
        <v>124</v>
      </c>
      <c r="Q56" s="76" t="s">
        <v>124</v>
      </c>
      <c r="R56" s="76" t="s">
        <v>124</v>
      </c>
      <c r="S56" s="83"/>
      <c r="T56" s="83"/>
    </row>
    <row r="57" spans="2:20" x14ac:dyDescent="0.25">
      <c r="B57" s="82">
        <v>52</v>
      </c>
      <c r="C57" s="57" t="s">
        <v>486</v>
      </c>
      <c r="D57" s="57" t="s">
        <v>31</v>
      </c>
      <c r="E57" s="83" t="s">
        <v>276</v>
      </c>
      <c r="F57" s="83" t="s">
        <v>275</v>
      </c>
      <c r="G57" s="82">
        <v>81280</v>
      </c>
      <c r="H57" s="83" t="s">
        <v>34</v>
      </c>
      <c r="I57" s="88"/>
      <c r="J57" s="54">
        <v>1500000</v>
      </c>
      <c r="K57" s="54">
        <f t="shared" si="6"/>
        <v>1500000</v>
      </c>
      <c r="L57" s="58" t="s">
        <v>124</v>
      </c>
      <c r="M57" s="56">
        <f t="shared" si="5"/>
        <v>75000</v>
      </c>
      <c r="N57" s="76" t="s">
        <v>124</v>
      </c>
      <c r="O57" s="76" t="s">
        <v>124</v>
      </c>
      <c r="P57" s="76" t="s">
        <v>124</v>
      </c>
      <c r="Q57" s="76" t="s">
        <v>124</v>
      </c>
      <c r="R57" s="76" t="s">
        <v>124</v>
      </c>
      <c r="S57" s="83"/>
      <c r="T57" s="83"/>
    </row>
    <row r="58" spans="2:20" x14ac:dyDescent="0.25">
      <c r="B58" s="82">
        <v>53</v>
      </c>
      <c r="C58" s="57" t="s">
        <v>486</v>
      </c>
      <c r="D58" s="57" t="s">
        <v>31</v>
      </c>
      <c r="E58" s="83" t="s">
        <v>366</v>
      </c>
      <c r="F58" s="83" t="s">
        <v>278</v>
      </c>
      <c r="G58" s="82">
        <v>82010</v>
      </c>
      <c r="H58" s="83" t="s">
        <v>101</v>
      </c>
      <c r="I58" s="88"/>
      <c r="J58" s="54">
        <v>580000</v>
      </c>
      <c r="K58" s="54">
        <f t="shared" si="6"/>
        <v>580000</v>
      </c>
      <c r="L58" s="58" t="s">
        <v>124</v>
      </c>
      <c r="M58" s="56">
        <f t="shared" si="5"/>
        <v>29000</v>
      </c>
      <c r="N58" s="76" t="s">
        <v>124</v>
      </c>
      <c r="O58" s="76" t="s">
        <v>124</v>
      </c>
      <c r="P58" s="76" t="s">
        <v>124</v>
      </c>
      <c r="Q58" s="76" t="s">
        <v>124</v>
      </c>
      <c r="R58" s="76" t="s">
        <v>124</v>
      </c>
      <c r="S58" s="83"/>
      <c r="T58" s="83"/>
    </row>
    <row r="59" spans="2:20" x14ac:dyDescent="0.25">
      <c r="B59" s="82">
        <v>54</v>
      </c>
      <c r="C59" s="57" t="s">
        <v>486</v>
      </c>
      <c r="D59" s="57" t="s">
        <v>31</v>
      </c>
      <c r="E59" s="83" t="s">
        <v>494</v>
      </c>
      <c r="F59" s="83" t="s">
        <v>280</v>
      </c>
      <c r="G59" s="82">
        <v>81280</v>
      </c>
      <c r="H59" s="83" t="s">
        <v>34</v>
      </c>
      <c r="I59" s="88"/>
      <c r="J59" s="54">
        <v>250500</v>
      </c>
      <c r="K59" s="54">
        <f t="shared" si="6"/>
        <v>250500</v>
      </c>
      <c r="L59" s="58" t="s">
        <v>124</v>
      </c>
      <c r="M59" s="56">
        <f t="shared" si="5"/>
        <v>12525</v>
      </c>
      <c r="N59" s="76" t="s">
        <v>124</v>
      </c>
      <c r="O59" s="76" t="s">
        <v>124</v>
      </c>
      <c r="P59" s="76" t="s">
        <v>124</v>
      </c>
      <c r="Q59" s="76" t="s">
        <v>124</v>
      </c>
      <c r="R59" s="76" t="s">
        <v>124</v>
      </c>
      <c r="S59" s="83"/>
      <c r="T59" s="83"/>
    </row>
    <row r="60" spans="2:20" x14ac:dyDescent="0.25">
      <c r="B60" s="82">
        <v>55</v>
      </c>
      <c r="C60" s="57" t="s">
        <v>486</v>
      </c>
      <c r="D60" s="57" t="s">
        <v>31</v>
      </c>
      <c r="E60" s="83" t="s">
        <v>281</v>
      </c>
      <c r="F60" s="83" t="s">
        <v>282</v>
      </c>
      <c r="G60" s="82">
        <v>80129</v>
      </c>
      <c r="H60" s="83" t="s">
        <v>5</v>
      </c>
      <c r="I60" s="88"/>
      <c r="J60" s="54">
        <v>295400</v>
      </c>
      <c r="K60" s="54">
        <f t="shared" si="6"/>
        <v>295400</v>
      </c>
      <c r="L60" s="58" t="s">
        <v>124</v>
      </c>
      <c r="M60" s="56">
        <f t="shared" si="5"/>
        <v>14770</v>
      </c>
      <c r="N60" s="76" t="s">
        <v>124</v>
      </c>
      <c r="O60" s="76" t="s">
        <v>124</v>
      </c>
      <c r="P60" s="76" t="s">
        <v>124</v>
      </c>
      <c r="Q60" s="76" t="s">
        <v>124</v>
      </c>
      <c r="R60" s="76" t="s">
        <v>124</v>
      </c>
      <c r="S60" s="83"/>
      <c r="T60" s="83"/>
    </row>
    <row r="61" spans="2:20" x14ac:dyDescent="0.25">
      <c r="B61" s="82">
        <v>56</v>
      </c>
      <c r="C61" s="57" t="s">
        <v>486</v>
      </c>
      <c r="D61" s="57" t="s">
        <v>31</v>
      </c>
      <c r="E61" s="83" t="s">
        <v>283</v>
      </c>
      <c r="F61" s="83" t="s">
        <v>284</v>
      </c>
      <c r="G61" s="82">
        <v>82530</v>
      </c>
      <c r="H61" s="83" t="s">
        <v>47</v>
      </c>
      <c r="I61" s="88"/>
      <c r="J61" s="54">
        <v>4720000</v>
      </c>
      <c r="K61" s="54">
        <f t="shared" si="6"/>
        <v>4720000</v>
      </c>
      <c r="L61" s="58" t="s">
        <v>124</v>
      </c>
      <c r="M61" s="56">
        <f t="shared" si="5"/>
        <v>236000</v>
      </c>
      <c r="N61" s="76" t="s">
        <v>124</v>
      </c>
      <c r="O61" s="76" t="s">
        <v>124</v>
      </c>
      <c r="P61" s="76" t="s">
        <v>124</v>
      </c>
      <c r="Q61" s="76" t="s">
        <v>124</v>
      </c>
      <c r="R61" s="76" t="s">
        <v>124</v>
      </c>
      <c r="S61" s="83"/>
      <c r="T61" s="83"/>
    </row>
    <row r="62" spans="2:20" x14ac:dyDescent="0.25">
      <c r="B62" s="82">
        <v>57</v>
      </c>
      <c r="C62" s="57" t="s">
        <v>486</v>
      </c>
      <c r="D62" s="57" t="s">
        <v>31</v>
      </c>
      <c r="E62" s="83" t="s">
        <v>286</v>
      </c>
      <c r="F62" s="83" t="s">
        <v>287</v>
      </c>
      <c r="G62" s="82">
        <v>80139</v>
      </c>
      <c r="H62" s="83" t="s">
        <v>5</v>
      </c>
      <c r="I62" s="88"/>
      <c r="J62" s="54">
        <v>8600000</v>
      </c>
      <c r="K62" s="54">
        <f t="shared" si="6"/>
        <v>8600000</v>
      </c>
      <c r="L62" s="58" t="s">
        <v>124</v>
      </c>
      <c r="M62" s="56">
        <f t="shared" si="5"/>
        <v>430000</v>
      </c>
      <c r="N62" s="76" t="s">
        <v>124</v>
      </c>
      <c r="O62" s="76" t="s">
        <v>124</v>
      </c>
      <c r="P62" s="76" t="s">
        <v>124</v>
      </c>
      <c r="Q62" s="76" t="s">
        <v>124</v>
      </c>
      <c r="R62" s="76" t="s">
        <v>124</v>
      </c>
      <c r="S62" s="83"/>
      <c r="T62" s="83"/>
    </row>
    <row r="63" spans="2:20" x14ac:dyDescent="0.25">
      <c r="B63" s="82">
        <v>58</v>
      </c>
      <c r="C63" s="57" t="s">
        <v>486</v>
      </c>
      <c r="D63" s="57" t="s">
        <v>31</v>
      </c>
      <c r="E63" s="83" t="s">
        <v>288</v>
      </c>
      <c r="F63" s="83" t="s">
        <v>289</v>
      </c>
      <c r="G63" s="82">
        <v>81805</v>
      </c>
      <c r="H63" s="83" t="s">
        <v>126</v>
      </c>
      <c r="I63" s="88"/>
      <c r="J63" s="54">
        <v>2320000</v>
      </c>
      <c r="K63" s="54">
        <f t="shared" si="6"/>
        <v>2320000</v>
      </c>
      <c r="L63" s="58" t="s">
        <v>124</v>
      </c>
      <c r="M63" s="56">
        <f t="shared" si="5"/>
        <v>116000</v>
      </c>
      <c r="N63" s="76" t="s">
        <v>124</v>
      </c>
      <c r="O63" s="76" t="s">
        <v>124</v>
      </c>
      <c r="P63" s="76" t="s">
        <v>124</v>
      </c>
      <c r="Q63" s="76" t="s">
        <v>124</v>
      </c>
      <c r="R63" s="76" t="s">
        <v>124</v>
      </c>
      <c r="S63" s="83"/>
      <c r="T63" s="83"/>
    </row>
    <row r="64" spans="2:20" x14ac:dyDescent="0.25">
      <c r="B64" s="82">
        <v>59</v>
      </c>
      <c r="C64" s="57" t="s">
        <v>486</v>
      </c>
      <c r="D64" s="57" t="s">
        <v>31</v>
      </c>
      <c r="E64" s="83" t="s">
        <v>290</v>
      </c>
      <c r="F64" s="83" t="s">
        <v>291</v>
      </c>
      <c r="G64" s="82">
        <v>82320</v>
      </c>
      <c r="H64" s="83" t="s">
        <v>101</v>
      </c>
      <c r="I64" s="88"/>
      <c r="J64" s="54">
        <v>1640000</v>
      </c>
      <c r="K64" s="54">
        <f t="shared" si="6"/>
        <v>1640000</v>
      </c>
      <c r="L64" s="58" t="s">
        <v>124</v>
      </c>
      <c r="M64" s="56">
        <f t="shared" si="5"/>
        <v>82000</v>
      </c>
      <c r="N64" s="76" t="s">
        <v>124</v>
      </c>
      <c r="O64" s="76" t="s">
        <v>124</v>
      </c>
      <c r="P64" s="76" t="s">
        <v>124</v>
      </c>
      <c r="Q64" s="76" t="s">
        <v>124</v>
      </c>
      <c r="R64" s="76" t="s">
        <v>124</v>
      </c>
      <c r="S64" s="83"/>
      <c r="T64" s="83"/>
    </row>
    <row r="65" spans="2:20" x14ac:dyDescent="0.25">
      <c r="B65" s="82">
        <v>60</v>
      </c>
      <c r="C65" s="57" t="s">
        <v>486</v>
      </c>
      <c r="D65" s="57" t="s">
        <v>31</v>
      </c>
      <c r="E65" s="83" t="s">
        <v>293</v>
      </c>
      <c r="F65" s="83" t="s">
        <v>294</v>
      </c>
      <c r="G65" s="82">
        <v>81300</v>
      </c>
      <c r="H65" s="83" t="s">
        <v>34</v>
      </c>
      <c r="I65" s="88"/>
      <c r="J65" s="54">
        <v>1480000</v>
      </c>
      <c r="K65" s="54">
        <f t="shared" si="6"/>
        <v>1480000</v>
      </c>
      <c r="L65" s="58" t="s">
        <v>124</v>
      </c>
      <c r="M65" s="56">
        <f t="shared" si="5"/>
        <v>74000</v>
      </c>
      <c r="N65" s="76" t="s">
        <v>124</v>
      </c>
      <c r="O65" s="76" t="s">
        <v>124</v>
      </c>
      <c r="P65" s="76" t="s">
        <v>124</v>
      </c>
      <c r="Q65" s="76" t="s">
        <v>124</v>
      </c>
      <c r="R65" s="76" t="s">
        <v>124</v>
      </c>
      <c r="S65" s="83"/>
      <c r="T65" s="83"/>
    </row>
    <row r="66" spans="2:20" x14ac:dyDescent="0.25">
      <c r="B66" s="82">
        <v>61</v>
      </c>
      <c r="C66" s="57" t="s">
        <v>486</v>
      </c>
      <c r="D66" s="57" t="s">
        <v>31</v>
      </c>
      <c r="E66" s="83" t="s">
        <v>295</v>
      </c>
      <c r="F66" s="83" t="s">
        <v>296</v>
      </c>
      <c r="G66" s="82">
        <v>81610</v>
      </c>
      <c r="H66" s="83" t="s">
        <v>35</v>
      </c>
      <c r="I66" s="88"/>
      <c r="J66" s="54">
        <v>6880000</v>
      </c>
      <c r="K66" s="54">
        <f t="shared" si="6"/>
        <v>6880000</v>
      </c>
      <c r="L66" s="58" t="s">
        <v>124</v>
      </c>
      <c r="M66" s="56">
        <f t="shared" si="5"/>
        <v>344000</v>
      </c>
      <c r="N66" s="76" t="s">
        <v>124</v>
      </c>
      <c r="O66" s="76" t="s">
        <v>124</v>
      </c>
      <c r="P66" s="76" t="s">
        <v>124</v>
      </c>
      <c r="Q66" s="76" t="s">
        <v>124</v>
      </c>
      <c r="R66" s="76" t="s">
        <v>124</v>
      </c>
      <c r="S66" s="83"/>
      <c r="T66" s="83"/>
    </row>
    <row r="67" spans="2:20" x14ac:dyDescent="0.25">
      <c r="B67" s="82">
        <v>62</v>
      </c>
      <c r="C67" s="57" t="s">
        <v>486</v>
      </c>
      <c r="D67" s="57" t="s">
        <v>31</v>
      </c>
      <c r="E67" s="83" t="s">
        <v>298</v>
      </c>
      <c r="F67" s="83" t="s">
        <v>299</v>
      </c>
      <c r="G67" s="82">
        <v>81199</v>
      </c>
      <c r="H67" s="83" t="s">
        <v>5</v>
      </c>
      <c r="I67" s="88"/>
      <c r="J67" s="54">
        <v>960000</v>
      </c>
      <c r="K67" s="54">
        <f t="shared" si="6"/>
        <v>960000</v>
      </c>
      <c r="L67" s="58" t="s">
        <v>124</v>
      </c>
      <c r="M67" s="56">
        <f t="shared" si="5"/>
        <v>48000</v>
      </c>
      <c r="N67" s="76" t="s">
        <v>124</v>
      </c>
      <c r="O67" s="76" t="s">
        <v>124</v>
      </c>
      <c r="P67" s="76" t="s">
        <v>124</v>
      </c>
      <c r="Q67" s="76" t="s">
        <v>124</v>
      </c>
      <c r="R67" s="76" t="s">
        <v>124</v>
      </c>
      <c r="S67" s="83"/>
      <c r="T67" s="83"/>
    </row>
    <row r="68" spans="2:20" x14ac:dyDescent="0.25">
      <c r="B68" s="82">
        <v>63</v>
      </c>
      <c r="C68" s="57" t="s">
        <v>486</v>
      </c>
      <c r="D68" s="57" t="s">
        <v>31</v>
      </c>
      <c r="E68" s="83" t="s">
        <v>301</v>
      </c>
      <c r="F68" s="83" t="s">
        <v>299</v>
      </c>
      <c r="G68" s="82">
        <v>81199</v>
      </c>
      <c r="H68" s="83" t="s">
        <v>5</v>
      </c>
      <c r="I68" s="88"/>
      <c r="J68" s="54">
        <v>4560000</v>
      </c>
      <c r="K68" s="54">
        <f t="shared" si="6"/>
        <v>4560000</v>
      </c>
      <c r="L68" s="58" t="s">
        <v>124</v>
      </c>
      <c r="M68" s="56">
        <f t="shared" si="5"/>
        <v>228000</v>
      </c>
      <c r="N68" s="76" t="s">
        <v>124</v>
      </c>
      <c r="O68" s="76" t="s">
        <v>124</v>
      </c>
      <c r="P68" s="76" t="s">
        <v>124</v>
      </c>
      <c r="Q68" s="76" t="s">
        <v>124</v>
      </c>
      <c r="R68" s="76" t="s">
        <v>124</v>
      </c>
      <c r="S68" s="83"/>
      <c r="T68" s="83"/>
    </row>
    <row r="69" spans="2:20" x14ac:dyDescent="0.25">
      <c r="B69" s="82">
        <v>64</v>
      </c>
      <c r="C69" s="57" t="s">
        <v>486</v>
      </c>
      <c r="D69" s="57" t="s">
        <v>31</v>
      </c>
      <c r="E69" s="83" t="s">
        <v>302</v>
      </c>
      <c r="F69" s="83" t="s">
        <v>299</v>
      </c>
      <c r="G69" s="82">
        <v>81199</v>
      </c>
      <c r="H69" s="83" t="s">
        <v>5</v>
      </c>
      <c r="I69" s="88"/>
      <c r="J69" s="54">
        <v>4400000</v>
      </c>
      <c r="K69" s="54">
        <f t="shared" si="6"/>
        <v>4400000</v>
      </c>
      <c r="L69" s="58" t="s">
        <v>124</v>
      </c>
      <c r="M69" s="56">
        <f t="shared" si="5"/>
        <v>220000</v>
      </c>
      <c r="N69" s="76" t="s">
        <v>124</v>
      </c>
      <c r="O69" s="76" t="s">
        <v>124</v>
      </c>
      <c r="P69" s="76" t="s">
        <v>124</v>
      </c>
      <c r="Q69" s="76" t="s">
        <v>124</v>
      </c>
      <c r="R69" s="76" t="s">
        <v>124</v>
      </c>
      <c r="S69" s="83"/>
      <c r="T69" s="83"/>
    </row>
    <row r="70" spans="2:20" x14ac:dyDescent="0.25">
      <c r="B70" s="82">
        <v>65</v>
      </c>
      <c r="C70" s="57" t="s">
        <v>486</v>
      </c>
      <c r="D70" s="57" t="s">
        <v>31</v>
      </c>
      <c r="E70" s="83" t="s">
        <v>127</v>
      </c>
      <c r="F70" s="83" t="s">
        <v>304</v>
      </c>
      <c r="G70" s="82">
        <v>80016</v>
      </c>
      <c r="H70" s="83" t="s">
        <v>5</v>
      </c>
      <c r="I70" s="88"/>
      <c r="J70" s="54">
        <v>1800000</v>
      </c>
      <c r="K70" s="54">
        <f t="shared" si="6"/>
        <v>1800000</v>
      </c>
      <c r="L70" s="58" t="s">
        <v>124</v>
      </c>
      <c r="M70" s="56">
        <f t="shared" si="5"/>
        <v>90000</v>
      </c>
      <c r="N70" s="76" t="s">
        <v>124</v>
      </c>
      <c r="O70" s="76" t="s">
        <v>124</v>
      </c>
      <c r="P70" s="76" t="s">
        <v>124</v>
      </c>
      <c r="Q70" s="76" t="s">
        <v>124</v>
      </c>
      <c r="R70" s="76" t="s">
        <v>124</v>
      </c>
      <c r="S70" s="83"/>
      <c r="T70" s="83"/>
    </row>
    <row r="71" spans="2:20" x14ac:dyDescent="0.25">
      <c r="B71" s="82">
        <v>66</v>
      </c>
      <c r="C71" s="57" t="s">
        <v>486</v>
      </c>
      <c r="D71" s="57" t="s">
        <v>31</v>
      </c>
      <c r="E71" s="83" t="s">
        <v>305</v>
      </c>
      <c r="F71" s="83" t="s">
        <v>306</v>
      </c>
      <c r="G71" s="82">
        <v>80000</v>
      </c>
      <c r="H71" s="83" t="s">
        <v>5</v>
      </c>
      <c r="I71" s="88"/>
      <c r="J71" s="54">
        <v>280000</v>
      </c>
      <c r="K71" s="54">
        <f t="shared" si="6"/>
        <v>280000</v>
      </c>
      <c r="L71" s="58" t="s">
        <v>124</v>
      </c>
      <c r="M71" s="56">
        <f t="shared" si="5"/>
        <v>14000</v>
      </c>
      <c r="N71" s="76" t="s">
        <v>124</v>
      </c>
      <c r="O71" s="76" t="s">
        <v>124</v>
      </c>
      <c r="P71" s="76" t="s">
        <v>124</v>
      </c>
      <c r="Q71" s="76" t="s">
        <v>124</v>
      </c>
      <c r="R71" s="76" t="s">
        <v>124</v>
      </c>
      <c r="S71" s="83"/>
      <c r="T71" s="83"/>
    </row>
    <row r="72" spans="2:20" x14ac:dyDescent="0.25">
      <c r="B72" s="82">
        <v>67</v>
      </c>
      <c r="C72" s="57" t="s">
        <v>486</v>
      </c>
      <c r="D72" s="57" t="s">
        <v>31</v>
      </c>
      <c r="E72" s="83" t="s">
        <v>495</v>
      </c>
      <c r="F72" s="83" t="s">
        <v>308</v>
      </c>
      <c r="G72" s="82">
        <v>80349</v>
      </c>
      <c r="H72" s="83" t="s">
        <v>130</v>
      </c>
      <c r="I72" s="88"/>
      <c r="J72" s="54">
        <v>1598400</v>
      </c>
      <c r="K72" s="54">
        <f t="shared" si="6"/>
        <v>1598400</v>
      </c>
      <c r="L72" s="58" t="s">
        <v>124</v>
      </c>
      <c r="M72" s="56">
        <f t="shared" si="5"/>
        <v>79920</v>
      </c>
      <c r="N72" s="76" t="s">
        <v>124</v>
      </c>
      <c r="O72" s="76" t="s">
        <v>124</v>
      </c>
      <c r="P72" s="76" t="s">
        <v>124</v>
      </c>
      <c r="Q72" s="76" t="s">
        <v>124</v>
      </c>
      <c r="R72" s="76" t="s">
        <v>124</v>
      </c>
      <c r="S72" s="83"/>
      <c r="T72" s="83"/>
    </row>
    <row r="73" spans="2:20" x14ac:dyDescent="0.25">
      <c r="B73" s="82">
        <v>68</v>
      </c>
      <c r="C73" s="57" t="s">
        <v>486</v>
      </c>
      <c r="D73" s="57" t="s">
        <v>31</v>
      </c>
      <c r="E73" s="83" t="s">
        <v>309</v>
      </c>
      <c r="F73" s="83" t="s">
        <v>310</v>
      </c>
      <c r="G73" s="82">
        <v>81200</v>
      </c>
      <c r="H73" s="83" t="s">
        <v>34</v>
      </c>
      <c r="I73" s="88"/>
      <c r="J73" s="54">
        <v>2500000</v>
      </c>
      <c r="K73" s="54">
        <f t="shared" si="6"/>
        <v>2500000</v>
      </c>
      <c r="L73" s="58" t="s">
        <v>124</v>
      </c>
      <c r="M73" s="56">
        <f t="shared" si="5"/>
        <v>125000</v>
      </c>
      <c r="N73" s="76" t="s">
        <v>124</v>
      </c>
      <c r="O73" s="76" t="s">
        <v>124</v>
      </c>
      <c r="P73" s="76" t="s">
        <v>124</v>
      </c>
      <c r="Q73" s="76" t="s">
        <v>124</v>
      </c>
      <c r="R73" s="76" t="s">
        <v>124</v>
      </c>
      <c r="S73" s="83"/>
      <c r="T73" s="83"/>
    </row>
    <row r="74" spans="2:20" x14ac:dyDescent="0.25">
      <c r="B74" s="82">
        <v>69</v>
      </c>
      <c r="C74" s="57" t="s">
        <v>486</v>
      </c>
      <c r="D74" s="57" t="s">
        <v>31</v>
      </c>
      <c r="E74" s="83" t="s">
        <v>268</v>
      </c>
      <c r="F74" s="83" t="s">
        <v>311</v>
      </c>
      <c r="G74" s="82">
        <v>80950</v>
      </c>
      <c r="H74" s="83" t="s">
        <v>49</v>
      </c>
      <c r="I74" s="88"/>
      <c r="J74" s="54">
        <v>406240</v>
      </c>
      <c r="K74" s="54">
        <f t="shared" si="6"/>
        <v>406240</v>
      </c>
      <c r="L74" s="58" t="s">
        <v>124</v>
      </c>
      <c r="M74" s="56">
        <f t="shared" si="5"/>
        <v>20312</v>
      </c>
      <c r="N74" s="76" t="s">
        <v>124</v>
      </c>
      <c r="O74" s="76" t="s">
        <v>124</v>
      </c>
      <c r="P74" s="76" t="s">
        <v>124</v>
      </c>
      <c r="Q74" s="76" t="s">
        <v>124</v>
      </c>
      <c r="R74" s="76" t="s">
        <v>124</v>
      </c>
      <c r="S74" s="83"/>
      <c r="T74" s="83"/>
    </row>
    <row r="75" spans="2:20" x14ac:dyDescent="0.25">
      <c r="B75" s="82">
        <v>70</v>
      </c>
      <c r="C75" s="57" t="s">
        <v>486</v>
      </c>
      <c r="D75" s="57" t="s">
        <v>31</v>
      </c>
      <c r="E75" s="83" t="s">
        <v>313</v>
      </c>
      <c r="F75" s="83" t="s">
        <v>311</v>
      </c>
      <c r="G75" s="82">
        <v>80950</v>
      </c>
      <c r="H75" s="83" t="s">
        <v>49</v>
      </c>
      <c r="I75" s="88"/>
      <c r="J75" s="54">
        <v>818700</v>
      </c>
      <c r="K75" s="54">
        <f t="shared" si="6"/>
        <v>818700</v>
      </c>
      <c r="L75" s="58" t="s">
        <v>124</v>
      </c>
      <c r="M75" s="56">
        <f t="shared" si="5"/>
        <v>40935</v>
      </c>
      <c r="N75" s="76" t="s">
        <v>124</v>
      </c>
      <c r="O75" s="76" t="s">
        <v>124</v>
      </c>
      <c r="P75" s="76" t="s">
        <v>124</v>
      </c>
      <c r="Q75" s="76" t="s">
        <v>124</v>
      </c>
      <c r="R75" s="76" t="s">
        <v>124</v>
      </c>
      <c r="S75" s="83"/>
      <c r="T75" s="83"/>
    </row>
    <row r="76" spans="2:20" x14ac:dyDescent="0.25">
      <c r="B76" s="82">
        <v>71</v>
      </c>
      <c r="C76" s="57" t="s">
        <v>486</v>
      </c>
      <c r="D76" s="57" t="s">
        <v>31</v>
      </c>
      <c r="E76" s="83" t="s">
        <v>314</v>
      </c>
      <c r="F76" s="83" t="s">
        <v>311</v>
      </c>
      <c r="G76" s="82">
        <v>80950</v>
      </c>
      <c r="H76" s="83" t="s">
        <v>49</v>
      </c>
      <c r="I76" s="88"/>
      <c r="J76" s="54">
        <v>64000</v>
      </c>
      <c r="K76" s="54">
        <f t="shared" si="6"/>
        <v>64000</v>
      </c>
      <c r="L76" s="58" t="s">
        <v>124</v>
      </c>
      <c r="M76" s="56">
        <f t="shared" si="5"/>
        <v>3200</v>
      </c>
      <c r="N76" s="76" t="s">
        <v>124</v>
      </c>
      <c r="O76" s="76" t="s">
        <v>124</v>
      </c>
      <c r="P76" s="76" t="s">
        <v>124</v>
      </c>
      <c r="Q76" s="76" t="s">
        <v>124</v>
      </c>
      <c r="R76" s="76" t="s">
        <v>124</v>
      </c>
      <c r="S76" s="83"/>
      <c r="T76" s="83"/>
    </row>
    <row r="77" spans="2:20" x14ac:dyDescent="0.25">
      <c r="B77" s="82">
        <v>72</v>
      </c>
      <c r="C77" s="57" t="s">
        <v>486</v>
      </c>
      <c r="D77" s="57" t="s">
        <v>31</v>
      </c>
      <c r="E77" s="83" t="s">
        <v>315</v>
      </c>
      <c r="F77" s="83" t="s">
        <v>316</v>
      </c>
      <c r="G77" s="82">
        <v>81000</v>
      </c>
      <c r="H77" s="83" t="s">
        <v>4</v>
      </c>
      <c r="I77" s="88"/>
      <c r="J77" s="54">
        <v>895980</v>
      </c>
      <c r="K77" s="54">
        <f t="shared" si="6"/>
        <v>895980</v>
      </c>
      <c r="L77" s="58" t="s">
        <v>124</v>
      </c>
      <c r="M77" s="56">
        <f t="shared" si="5"/>
        <v>44799</v>
      </c>
      <c r="N77" s="76" t="s">
        <v>124</v>
      </c>
      <c r="O77" s="76" t="s">
        <v>124</v>
      </c>
      <c r="P77" s="76" t="s">
        <v>124</v>
      </c>
      <c r="Q77" s="76" t="s">
        <v>124</v>
      </c>
      <c r="R77" s="76" t="s">
        <v>124</v>
      </c>
      <c r="S77" s="83"/>
      <c r="T77" s="83"/>
    </row>
    <row r="78" spans="2:20" x14ac:dyDescent="0.25">
      <c r="B78" s="82">
        <v>73</v>
      </c>
      <c r="C78" s="57" t="s">
        <v>486</v>
      </c>
      <c r="D78" s="57" t="s">
        <v>31</v>
      </c>
      <c r="E78" s="83" t="s">
        <v>496</v>
      </c>
      <c r="F78" s="83" t="s">
        <v>128</v>
      </c>
      <c r="G78" s="82">
        <v>80400</v>
      </c>
      <c r="H78" s="83" t="s">
        <v>189</v>
      </c>
      <c r="I78" s="88"/>
      <c r="J78" s="54">
        <v>720000</v>
      </c>
      <c r="K78" s="54">
        <f t="shared" si="6"/>
        <v>720000</v>
      </c>
      <c r="L78" s="58" t="s">
        <v>124</v>
      </c>
      <c r="M78" s="56">
        <f t="shared" si="5"/>
        <v>36000</v>
      </c>
      <c r="N78" s="76" t="s">
        <v>124</v>
      </c>
      <c r="O78" s="76" t="s">
        <v>124</v>
      </c>
      <c r="P78" s="76" t="s">
        <v>124</v>
      </c>
      <c r="Q78" s="76" t="s">
        <v>124</v>
      </c>
      <c r="R78" s="76" t="s">
        <v>124</v>
      </c>
      <c r="S78" s="83"/>
      <c r="T78" s="83"/>
    </row>
    <row r="79" spans="2:20" x14ac:dyDescent="0.25">
      <c r="B79" s="82">
        <v>74</v>
      </c>
      <c r="C79" s="57" t="s">
        <v>486</v>
      </c>
      <c r="D79" s="57" t="s">
        <v>31</v>
      </c>
      <c r="E79" s="83" t="s">
        <v>319</v>
      </c>
      <c r="F79" s="83" t="s">
        <v>320</v>
      </c>
      <c r="G79" s="82">
        <v>82700</v>
      </c>
      <c r="H79" s="83" t="s">
        <v>262</v>
      </c>
      <c r="I79" s="88"/>
      <c r="J79" s="54">
        <v>483020</v>
      </c>
      <c r="K79" s="54">
        <f t="shared" si="6"/>
        <v>483020</v>
      </c>
      <c r="L79" s="58" t="s">
        <v>124</v>
      </c>
      <c r="M79" s="56">
        <f t="shared" si="5"/>
        <v>24151</v>
      </c>
      <c r="N79" s="76" t="s">
        <v>124</v>
      </c>
      <c r="O79" s="76" t="s">
        <v>124</v>
      </c>
      <c r="P79" s="76" t="s">
        <v>124</v>
      </c>
      <c r="Q79" s="76" t="s">
        <v>124</v>
      </c>
      <c r="R79" s="76" t="s">
        <v>124</v>
      </c>
      <c r="S79" s="83"/>
      <c r="T79" s="83"/>
    </row>
    <row r="80" spans="2:20" x14ac:dyDescent="0.25">
      <c r="B80" s="82">
        <v>75</v>
      </c>
      <c r="C80" s="57" t="s">
        <v>486</v>
      </c>
      <c r="D80" s="57" t="s">
        <v>31</v>
      </c>
      <c r="E80" s="83" t="s">
        <v>321</v>
      </c>
      <c r="F80" s="83" t="s">
        <v>322</v>
      </c>
      <c r="G80" s="82">
        <v>81270</v>
      </c>
      <c r="H80" s="83" t="s">
        <v>34</v>
      </c>
      <c r="I80" s="88"/>
      <c r="J80" s="54">
        <v>483020</v>
      </c>
      <c r="K80" s="54">
        <f t="shared" si="6"/>
        <v>483020</v>
      </c>
      <c r="L80" s="58" t="s">
        <v>124</v>
      </c>
      <c r="M80" s="56">
        <f t="shared" si="5"/>
        <v>24151</v>
      </c>
      <c r="N80" s="76" t="s">
        <v>124</v>
      </c>
      <c r="O80" s="76" t="s">
        <v>124</v>
      </c>
      <c r="P80" s="76" t="s">
        <v>124</v>
      </c>
      <c r="Q80" s="76" t="s">
        <v>124</v>
      </c>
      <c r="R80" s="76" t="s">
        <v>124</v>
      </c>
      <c r="S80" s="83"/>
      <c r="T80" s="83"/>
    </row>
    <row r="81" spans="2:20" x14ac:dyDescent="0.25">
      <c r="B81" s="82">
        <v>76</v>
      </c>
      <c r="C81" s="57" t="s">
        <v>486</v>
      </c>
      <c r="D81" s="57" t="s">
        <v>31</v>
      </c>
      <c r="E81" s="83" t="s">
        <v>323</v>
      </c>
      <c r="F81" s="83" t="s">
        <v>324</v>
      </c>
      <c r="G81" s="82">
        <v>82017</v>
      </c>
      <c r="H81" s="83" t="s">
        <v>101</v>
      </c>
      <c r="I81" s="88"/>
      <c r="J81" s="54">
        <v>146700</v>
      </c>
      <c r="K81" s="54">
        <f t="shared" si="6"/>
        <v>146700</v>
      </c>
      <c r="L81" s="58" t="s">
        <v>124</v>
      </c>
      <c r="M81" s="56">
        <f t="shared" si="5"/>
        <v>7335</v>
      </c>
      <c r="N81" s="76" t="s">
        <v>124</v>
      </c>
      <c r="O81" s="76" t="s">
        <v>124</v>
      </c>
      <c r="P81" s="76" t="s">
        <v>124</v>
      </c>
      <c r="Q81" s="76" t="s">
        <v>124</v>
      </c>
      <c r="R81" s="76" t="s">
        <v>124</v>
      </c>
      <c r="S81" s="83"/>
      <c r="T81" s="83"/>
    </row>
    <row r="82" spans="2:20" x14ac:dyDescent="0.25">
      <c r="B82" s="82">
        <v>77</v>
      </c>
      <c r="C82" s="57" t="s">
        <v>486</v>
      </c>
      <c r="D82" s="57" t="s">
        <v>31</v>
      </c>
      <c r="E82" s="83" t="s">
        <v>129</v>
      </c>
      <c r="F82" s="83" t="s">
        <v>325</v>
      </c>
      <c r="G82" s="82">
        <v>82017</v>
      </c>
      <c r="H82" s="83" t="s">
        <v>101</v>
      </c>
      <c r="I82" s="88"/>
      <c r="J82" s="54">
        <v>1091020</v>
      </c>
      <c r="K82" s="54">
        <f t="shared" si="6"/>
        <v>1091020</v>
      </c>
      <c r="L82" s="58" t="s">
        <v>124</v>
      </c>
      <c r="M82" s="56">
        <f t="shared" si="5"/>
        <v>54551</v>
      </c>
      <c r="N82" s="76" t="s">
        <v>124</v>
      </c>
      <c r="O82" s="76" t="s">
        <v>124</v>
      </c>
      <c r="P82" s="76" t="s">
        <v>124</v>
      </c>
      <c r="Q82" s="76" t="s">
        <v>124</v>
      </c>
      <c r="R82" s="76" t="s">
        <v>124</v>
      </c>
      <c r="S82" s="83"/>
      <c r="T82" s="83"/>
    </row>
    <row r="83" spans="2:20" x14ac:dyDescent="0.25">
      <c r="B83" s="82">
        <v>78</v>
      </c>
      <c r="C83" s="57" t="s">
        <v>486</v>
      </c>
      <c r="D83" s="57" t="s">
        <v>31</v>
      </c>
      <c r="E83" s="83" t="s">
        <v>326</v>
      </c>
      <c r="F83" s="83" t="s">
        <v>327</v>
      </c>
      <c r="G83" s="82">
        <v>82016</v>
      </c>
      <c r="H83" s="83" t="s">
        <v>101</v>
      </c>
      <c r="I83" s="88"/>
      <c r="J83" s="54">
        <v>74000</v>
      </c>
      <c r="K83" s="54">
        <f t="shared" si="6"/>
        <v>74000</v>
      </c>
      <c r="L83" s="58" t="s">
        <v>124</v>
      </c>
      <c r="M83" s="56">
        <f t="shared" si="5"/>
        <v>3700</v>
      </c>
      <c r="N83" s="76" t="s">
        <v>124</v>
      </c>
      <c r="O83" s="76" t="s">
        <v>124</v>
      </c>
      <c r="P83" s="76" t="s">
        <v>124</v>
      </c>
      <c r="Q83" s="76" t="s">
        <v>124</v>
      </c>
      <c r="R83" s="76" t="s">
        <v>124</v>
      </c>
      <c r="S83" s="83"/>
      <c r="T83" s="83"/>
    </row>
    <row r="84" spans="2:20" x14ac:dyDescent="0.25">
      <c r="B84" s="82">
        <v>79</v>
      </c>
      <c r="C84" s="57" t="s">
        <v>486</v>
      </c>
      <c r="D84" s="57" t="s">
        <v>31</v>
      </c>
      <c r="E84" s="83" t="s">
        <v>497</v>
      </c>
      <c r="F84" s="83" t="s">
        <v>329</v>
      </c>
      <c r="G84" s="82">
        <v>81000</v>
      </c>
      <c r="H84" s="83" t="s">
        <v>4</v>
      </c>
      <c r="I84" s="88"/>
      <c r="J84" s="54">
        <v>840000</v>
      </c>
      <c r="K84" s="54">
        <f t="shared" si="6"/>
        <v>840000</v>
      </c>
      <c r="L84" s="58" t="s">
        <v>124</v>
      </c>
      <c r="M84" s="56">
        <f t="shared" si="5"/>
        <v>42000</v>
      </c>
      <c r="N84" s="76" t="s">
        <v>124</v>
      </c>
      <c r="O84" s="76" t="s">
        <v>124</v>
      </c>
      <c r="P84" s="76" t="s">
        <v>124</v>
      </c>
      <c r="Q84" s="76" t="s">
        <v>124</v>
      </c>
      <c r="R84" s="76" t="s">
        <v>124</v>
      </c>
      <c r="S84" s="83"/>
      <c r="T84" s="83"/>
    </row>
    <row r="85" spans="2:20" x14ac:dyDescent="0.25">
      <c r="B85" s="82">
        <v>80</v>
      </c>
      <c r="C85" s="57" t="s">
        <v>486</v>
      </c>
      <c r="D85" s="57" t="s">
        <v>31</v>
      </c>
      <c r="E85" s="83" t="s">
        <v>330</v>
      </c>
      <c r="F85" s="83" t="s">
        <v>331</v>
      </c>
      <c r="G85" s="82">
        <v>81077</v>
      </c>
      <c r="H85" s="83" t="s">
        <v>4</v>
      </c>
      <c r="I85" s="88"/>
      <c r="J85" s="54">
        <v>212000</v>
      </c>
      <c r="K85" s="54">
        <f t="shared" si="6"/>
        <v>212000</v>
      </c>
      <c r="L85" s="58" t="s">
        <v>124</v>
      </c>
      <c r="M85" s="56">
        <f t="shared" si="5"/>
        <v>10600</v>
      </c>
      <c r="N85" s="76" t="s">
        <v>124</v>
      </c>
      <c r="O85" s="76" t="s">
        <v>124</v>
      </c>
      <c r="P85" s="76" t="s">
        <v>124</v>
      </c>
      <c r="Q85" s="76" t="s">
        <v>124</v>
      </c>
      <c r="R85" s="76" t="s">
        <v>124</v>
      </c>
      <c r="S85" s="83"/>
      <c r="T85" s="83"/>
    </row>
    <row r="86" spans="2:20" x14ac:dyDescent="0.25">
      <c r="B86" s="82">
        <v>81</v>
      </c>
      <c r="C86" s="57" t="s">
        <v>486</v>
      </c>
      <c r="D86" s="57" t="s">
        <v>31</v>
      </c>
      <c r="E86" s="83" t="s">
        <v>332</v>
      </c>
      <c r="F86" s="83" t="s">
        <v>333</v>
      </c>
      <c r="G86" s="82">
        <v>82017</v>
      </c>
      <c r="H86" s="83" t="s">
        <v>101</v>
      </c>
      <c r="I86" s="88"/>
      <c r="J86" s="54">
        <v>212000</v>
      </c>
      <c r="K86" s="54">
        <f t="shared" si="6"/>
        <v>212000</v>
      </c>
      <c r="L86" s="58" t="s">
        <v>124</v>
      </c>
      <c r="M86" s="56">
        <f t="shared" si="5"/>
        <v>10600</v>
      </c>
      <c r="N86" s="76" t="s">
        <v>124</v>
      </c>
      <c r="O86" s="76" t="s">
        <v>124</v>
      </c>
      <c r="P86" s="76" t="s">
        <v>124</v>
      </c>
      <c r="Q86" s="76" t="s">
        <v>124</v>
      </c>
      <c r="R86" s="76" t="s">
        <v>124</v>
      </c>
      <c r="S86" s="83"/>
      <c r="T86" s="83"/>
    </row>
    <row r="87" spans="2:20" x14ac:dyDescent="0.25">
      <c r="B87" s="82">
        <v>82</v>
      </c>
      <c r="C87" s="57" t="s">
        <v>486</v>
      </c>
      <c r="D87" s="57" t="s">
        <v>31</v>
      </c>
      <c r="E87" s="83" t="s">
        <v>330</v>
      </c>
      <c r="F87" s="83" t="s">
        <v>334</v>
      </c>
      <c r="G87" s="82">
        <v>80060</v>
      </c>
      <c r="H87" s="83" t="s">
        <v>5</v>
      </c>
      <c r="I87" s="88"/>
      <c r="J87" s="54">
        <v>212000</v>
      </c>
      <c r="K87" s="54">
        <f t="shared" si="6"/>
        <v>212000</v>
      </c>
      <c r="L87" s="58" t="s">
        <v>124</v>
      </c>
      <c r="M87" s="56">
        <f t="shared" si="5"/>
        <v>10600</v>
      </c>
      <c r="N87" s="76" t="s">
        <v>124</v>
      </c>
      <c r="O87" s="76" t="s">
        <v>124</v>
      </c>
      <c r="P87" s="76" t="s">
        <v>124</v>
      </c>
      <c r="Q87" s="76" t="s">
        <v>124</v>
      </c>
      <c r="R87" s="76" t="s">
        <v>124</v>
      </c>
      <c r="S87" s="83"/>
      <c r="T87" s="83"/>
    </row>
    <row r="88" spans="2:20" x14ac:dyDescent="0.25">
      <c r="B88" s="82">
        <v>83</v>
      </c>
      <c r="C88" s="57" t="s">
        <v>486</v>
      </c>
      <c r="D88" s="57" t="s">
        <v>31</v>
      </c>
      <c r="E88" s="83" t="s">
        <v>335</v>
      </c>
      <c r="F88" s="83" t="s">
        <v>336</v>
      </c>
      <c r="G88" s="82">
        <v>82010</v>
      </c>
      <c r="H88" s="83" t="s">
        <v>101</v>
      </c>
      <c r="I88" s="88"/>
      <c r="J88" s="54">
        <v>1567500</v>
      </c>
      <c r="K88" s="54">
        <f t="shared" si="6"/>
        <v>1567500</v>
      </c>
      <c r="L88" s="58" t="s">
        <v>124</v>
      </c>
      <c r="M88" s="56">
        <f t="shared" si="5"/>
        <v>78375</v>
      </c>
      <c r="N88" s="76" t="s">
        <v>124</v>
      </c>
      <c r="O88" s="76" t="s">
        <v>124</v>
      </c>
      <c r="P88" s="76" t="s">
        <v>124</v>
      </c>
      <c r="Q88" s="76" t="s">
        <v>124</v>
      </c>
      <c r="R88" s="76" t="s">
        <v>124</v>
      </c>
      <c r="S88" s="83"/>
      <c r="T88" s="83"/>
    </row>
    <row r="89" spans="2:20" x14ac:dyDescent="0.25">
      <c r="B89" s="82">
        <v>84</v>
      </c>
      <c r="C89" s="57" t="s">
        <v>486</v>
      </c>
      <c r="D89" s="57" t="s">
        <v>31</v>
      </c>
      <c r="E89" s="83" t="s">
        <v>337</v>
      </c>
      <c r="F89" s="83" t="s">
        <v>338</v>
      </c>
      <c r="G89" s="82">
        <v>80324</v>
      </c>
      <c r="H89" s="83" t="s">
        <v>130</v>
      </c>
      <c r="I89" s="88"/>
      <c r="J89" s="54">
        <v>620000</v>
      </c>
      <c r="K89" s="54">
        <f t="shared" si="6"/>
        <v>620000</v>
      </c>
      <c r="L89" s="58" t="s">
        <v>124</v>
      </c>
      <c r="M89" s="56">
        <f t="shared" si="5"/>
        <v>31000</v>
      </c>
      <c r="N89" s="76" t="s">
        <v>124</v>
      </c>
      <c r="O89" s="76" t="s">
        <v>124</v>
      </c>
      <c r="P89" s="76" t="s">
        <v>124</v>
      </c>
      <c r="Q89" s="76" t="s">
        <v>124</v>
      </c>
      <c r="R89" s="76" t="s">
        <v>124</v>
      </c>
      <c r="S89" s="83"/>
      <c r="T89" s="83"/>
    </row>
    <row r="90" spans="2:20" x14ac:dyDescent="0.25">
      <c r="B90" s="82">
        <v>85</v>
      </c>
      <c r="C90" s="57" t="s">
        <v>486</v>
      </c>
      <c r="D90" s="57" t="s">
        <v>31</v>
      </c>
      <c r="E90" s="83" t="s">
        <v>339</v>
      </c>
      <c r="F90" s="83" t="s">
        <v>340</v>
      </c>
      <c r="G90" s="82">
        <v>82000</v>
      </c>
      <c r="H90" s="83" t="s">
        <v>50</v>
      </c>
      <c r="I90" s="88"/>
      <c r="J90" s="54">
        <v>216000</v>
      </c>
      <c r="K90" s="54">
        <f t="shared" si="6"/>
        <v>216000</v>
      </c>
      <c r="L90" s="58" t="s">
        <v>124</v>
      </c>
      <c r="M90" s="56">
        <f t="shared" si="5"/>
        <v>10800</v>
      </c>
      <c r="N90" s="76" t="s">
        <v>124</v>
      </c>
      <c r="O90" s="76" t="s">
        <v>124</v>
      </c>
      <c r="P90" s="76" t="s">
        <v>124</v>
      </c>
      <c r="Q90" s="76" t="s">
        <v>124</v>
      </c>
      <c r="R90" s="76" t="s">
        <v>124</v>
      </c>
      <c r="S90" s="83"/>
      <c r="T90" s="83"/>
    </row>
    <row r="91" spans="2:20" x14ac:dyDescent="0.25">
      <c r="B91" s="82">
        <v>86</v>
      </c>
      <c r="C91" s="57" t="s">
        <v>486</v>
      </c>
      <c r="D91" s="57" t="s">
        <v>31</v>
      </c>
      <c r="E91" s="83" t="s">
        <v>341</v>
      </c>
      <c r="F91" s="83" t="s">
        <v>342</v>
      </c>
      <c r="G91" s="82">
        <v>81259</v>
      </c>
      <c r="H91" s="83" t="s">
        <v>34</v>
      </c>
      <c r="I91" s="88"/>
      <c r="J91" s="54">
        <v>121500</v>
      </c>
      <c r="K91" s="54">
        <f t="shared" si="6"/>
        <v>121500</v>
      </c>
      <c r="L91" s="58" t="s">
        <v>124</v>
      </c>
      <c r="M91" s="56">
        <f t="shared" si="5"/>
        <v>6075</v>
      </c>
      <c r="N91" s="76" t="s">
        <v>124</v>
      </c>
      <c r="O91" s="76" t="s">
        <v>124</v>
      </c>
      <c r="P91" s="76" t="s">
        <v>124</v>
      </c>
      <c r="Q91" s="76" t="s">
        <v>124</v>
      </c>
      <c r="R91" s="76" t="s">
        <v>124</v>
      </c>
      <c r="S91" s="83"/>
      <c r="T91" s="83"/>
    </row>
    <row r="92" spans="2:20" x14ac:dyDescent="0.25">
      <c r="B92" s="82">
        <v>87</v>
      </c>
      <c r="C92" s="57" t="s">
        <v>486</v>
      </c>
      <c r="D92" s="57" t="s">
        <v>31</v>
      </c>
      <c r="E92" s="83" t="s">
        <v>343</v>
      </c>
      <c r="F92" s="83" t="s">
        <v>344</v>
      </c>
      <c r="G92" s="82">
        <v>81254</v>
      </c>
      <c r="H92" s="83" t="s">
        <v>34</v>
      </c>
      <c r="I92" s="88"/>
      <c r="J92" s="54">
        <v>240000</v>
      </c>
      <c r="K92" s="54">
        <f t="shared" si="6"/>
        <v>240000</v>
      </c>
      <c r="L92" s="58" t="s">
        <v>124</v>
      </c>
      <c r="M92" s="56">
        <f t="shared" si="5"/>
        <v>12000</v>
      </c>
      <c r="N92" s="76" t="s">
        <v>124</v>
      </c>
      <c r="O92" s="76" t="s">
        <v>124</v>
      </c>
      <c r="P92" s="76" t="s">
        <v>124</v>
      </c>
      <c r="Q92" s="76" t="s">
        <v>124</v>
      </c>
      <c r="R92" s="76" t="s">
        <v>124</v>
      </c>
      <c r="S92" s="83"/>
      <c r="T92" s="83"/>
    </row>
    <row r="93" spans="2:20" x14ac:dyDescent="0.25">
      <c r="B93" s="82">
        <v>88</v>
      </c>
      <c r="C93" s="57" t="s">
        <v>486</v>
      </c>
      <c r="D93" s="57" t="s">
        <v>31</v>
      </c>
      <c r="E93" s="83" t="s">
        <v>345</v>
      </c>
      <c r="F93" s="83" t="s">
        <v>346</v>
      </c>
      <c r="G93" s="82">
        <v>82210</v>
      </c>
      <c r="H93" s="83" t="s">
        <v>101</v>
      </c>
      <c r="I93" s="88"/>
      <c r="J93" s="54">
        <v>240000</v>
      </c>
      <c r="K93" s="54">
        <f t="shared" si="6"/>
        <v>240000</v>
      </c>
      <c r="L93" s="58" t="s">
        <v>124</v>
      </c>
      <c r="M93" s="56">
        <f t="shared" si="5"/>
        <v>12000</v>
      </c>
      <c r="N93" s="76" t="s">
        <v>124</v>
      </c>
      <c r="O93" s="76" t="s">
        <v>124</v>
      </c>
      <c r="P93" s="76" t="s">
        <v>124</v>
      </c>
      <c r="Q93" s="76" t="s">
        <v>124</v>
      </c>
      <c r="R93" s="76" t="s">
        <v>124</v>
      </c>
      <c r="S93" s="83"/>
      <c r="T93" s="83"/>
    </row>
    <row r="94" spans="2:20" x14ac:dyDescent="0.25">
      <c r="B94" s="82">
        <v>89</v>
      </c>
      <c r="C94" s="57" t="s">
        <v>486</v>
      </c>
      <c r="D94" s="57" t="s">
        <v>31</v>
      </c>
      <c r="E94" s="83" t="s">
        <v>348</v>
      </c>
      <c r="F94" s="83" t="s">
        <v>349</v>
      </c>
      <c r="G94" s="82">
        <v>80020</v>
      </c>
      <c r="H94" s="83" t="s">
        <v>5</v>
      </c>
      <c r="I94" s="88"/>
      <c r="J94" s="54">
        <v>488000</v>
      </c>
      <c r="K94" s="54">
        <f t="shared" si="6"/>
        <v>488000</v>
      </c>
      <c r="L94" s="58" t="s">
        <v>124</v>
      </c>
      <c r="M94" s="56">
        <f t="shared" si="5"/>
        <v>24400</v>
      </c>
      <c r="N94" s="76" t="s">
        <v>124</v>
      </c>
      <c r="O94" s="76" t="s">
        <v>124</v>
      </c>
      <c r="P94" s="76" t="s">
        <v>124</v>
      </c>
      <c r="Q94" s="76" t="s">
        <v>124</v>
      </c>
      <c r="R94" s="76" t="s">
        <v>124</v>
      </c>
      <c r="S94" s="83"/>
      <c r="T94" s="83"/>
    </row>
    <row r="95" spans="2:20" x14ac:dyDescent="0.25">
      <c r="B95" s="82">
        <v>90</v>
      </c>
      <c r="C95" s="57" t="s">
        <v>486</v>
      </c>
      <c r="D95" s="57" t="s">
        <v>31</v>
      </c>
      <c r="E95" s="83" t="s">
        <v>350</v>
      </c>
      <c r="F95" s="83" t="s">
        <v>351</v>
      </c>
      <c r="G95" s="82">
        <v>82148</v>
      </c>
      <c r="H95" s="83" t="s">
        <v>101</v>
      </c>
      <c r="I95" s="88"/>
      <c r="J95" s="54">
        <v>538560</v>
      </c>
      <c r="K95" s="54">
        <f t="shared" si="6"/>
        <v>538560</v>
      </c>
      <c r="L95" s="58" t="s">
        <v>124</v>
      </c>
      <c r="M95" s="56">
        <f t="shared" si="5"/>
        <v>26928</v>
      </c>
      <c r="N95" s="76" t="s">
        <v>124</v>
      </c>
      <c r="O95" s="76" t="s">
        <v>124</v>
      </c>
      <c r="P95" s="76" t="s">
        <v>124</v>
      </c>
      <c r="Q95" s="76" t="s">
        <v>124</v>
      </c>
      <c r="R95" s="76" t="s">
        <v>124</v>
      </c>
      <c r="S95" s="83"/>
      <c r="T95" s="83"/>
    </row>
    <row r="96" spans="2:20" x14ac:dyDescent="0.25">
      <c r="B96" s="82">
        <v>91</v>
      </c>
      <c r="C96" s="57" t="s">
        <v>486</v>
      </c>
      <c r="D96" s="57" t="s">
        <v>31</v>
      </c>
      <c r="E96" s="83" t="s">
        <v>352</v>
      </c>
      <c r="F96" s="83" t="s">
        <v>353</v>
      </c>
      <c r="G96" s="82">
        <v>81260</v>
      </c>
      <c r="H96" s="83" t="s">
        <v>34</v>
      </c>
      <c r="I96" s="88"/>
      <c r="J96" s="54">
        <v>120000</v>
      </c>
      <c r="K96" s="54">
        <f t="shared" si="6"/>
        <v>120000</v>
      </c>
      <c r="L96" s="58" t="s">
        <v>124</v>
      </c>
      <c r="M96" s="56">
        <f t="shared" si="5"/>
        <v>6000</v>
      </c>
      <c r="N96" s="76" t="s">
        <v>124</v>
      </c>
      <c r="O96" s="76" t="s">
        <v>124</v>
      </c>
      <c r="P96" s="76" t="s">
        <v>124</v>
      </c>
      <c r="Q96" s="76" t="s">
        <v>124</v>
      </c>
      <c r="R96" s="76" t="s">
        <v>124</v>
      </c>
      <c r="S96" s="83"/>
      <c r="T96" s="83"/>
    </row>
    <row r="97" spans="2:20" x14ac:dyDescent="0.25">
      <c r="B97" s="82">
        <v>92</v>
      </c>
      <c r="C97" s="57" t="s">
        <v>486</v>
      </c>
      <c r="D97" s="57" t="s">
        <v>31</v>
      </c>
      <c r="E97" s="83" t="s">
        <v>354</v>
      </c>
      <c r="F97" s="83" t="s">
        <v>355</v>
      </c>
      <c r="G97" s="82">
        <v>80000</v>
      </c>
      <c r="H97" s="83" t="s">
        <v>5</v>
      </c>
      <c r="I97" s="88"/>
      <c r="J97" s="54">
        <v>1386120</v>
      </c>
      <c r="K97" s="54">
        <f t="shared" si="6"/>
        <v>1386120</v>
      </c>
      <c r="L97" s="58" t="s">
        <v>124</v>
      </c>
      <c r="M97" s="56">
        <f t="shared" si="5"/>
        <v>69306</v>
      </c>
      <c r="N97" s="76" t="s">
        <v>124</v>
      </c>
      <c r="O97" s="76" t="s">
        <v>124</v>
      </c>
      <c r="P97" s="76" t="s">
        <v>124</v>
      </c>
      <c r="Q97" s="76" t="s">
        <v>124</v>
      </c>
      <c r="R97" s="76" t="s">
        <v>124</v>
      </c>
      <c r="S97" s="83"/>
      <c r="T97" s="83"/>
    </row>
    <row r="98" spans="2:20" x14ac:dyDescent="0.25">
      <c r="B98" s="82">
        <v>93</v>
      </c>
      <c r="C98" s="57" t="s">
        <v>486</v>
      </c>
      <c r="D98" s="57" t="s">
        <v>31</v>
      </c>
      <c r="E98" s="83" t="s">
        <v>356</v>
      </c>
      <c r="F98" s="83" t="s">
        <v>357</v>
      </c>
      <c r="G98" s="82">
        <v>82138</v>
      </c>
      <c r="H98" s="83" t="s">
        <v>101</v>
      </c>
      <c r="I98" s="88"/>
      <c r="J98" s="54">
        <v>290540</v>
      </c>
      <c r="K98" s="54">
        <f t="shared" si="6"/>
        <v>290540</v>
      </c>
      <c r="L98" s="58" t="s">
        <v>124</v>
      </c>
      <c r="M98" s="56">
        <f t="shared" si="5"/>
        <v>14527</v>
      </c>
      <c r="N98" s="76" t="s">
        <v>124</v>
      </c>
      <c r="O98" s="76" t="s">
        <v>124</v>
      </c>
      <c r="P98" s="76" t="s">
        <v>124</v>
      </c>
      <c r="Q98" s="76" t="s">
        <v>124</v>
      </c>
      <c r="R98" s="76" t="s">
        <v>124</v>
      </c>
      <c r="S98" s="83"/>
      <c r="T98" s="83"/>
    </row>
    <row r="99" spans="2:20" x14ac:dyDescent="0.25">
      <c r="B99" s="82">
        <v>94</v>
      </c>
      <c r="C99" s="57" t="s">
        <v>486</v>
      </c>
      <c r="D99" s="57" t="s">
        <v>31</v>
      </c>
      <c r="E99" s="83" t="s">
        <v>358</v>
      </c>
      <c r="F99" s="83" t="s">
        <v>359</v>
      </c>
      <c r="G99" s="82">
        <v>82010</v>
      </c>
      <c r="H99" s="83" t="s">
        <v>101</v>
      </c>
      <c r="I99" s="88"/>
      <c r="J99" s="54">
        <v>251700</v>
      </c>
      <c r="K99" s="54">
        <f t="shared" si="6"/>
        <v>251700</v>
      </c>
      <c r="L99" s="58" t="s">
        <v>124</v>
      </c>
      <c r="M99" s="56">
        <f t="shared" si="5"/>
        <v>12585</v>
      </c>
      <c r="N99" s="76" t="s">
        <v>124</v>
      </c>
      <c r="O99" s="76" t="s">
        <v>124</v>
      </c>
      <c r="P99" s="76" t="s">
        <v>124</v>
      </c>
      <c r="Q99" s="76" t="s">
        <v>124</v>
      </c>
      <c r="R99" s="76" t="s">
        <v>124</v>
      </c>
      <c r="S99" s="83"/>
      <c r="T99" s="83"/>
    </row>
    <row r="100" spans="2:20" x14ac:dyDescent="0.25">
      <c r="B100" s="82">
        <v>95</v>
      </c>
      <c r="C100" s="57" t="s">
        <v>486</v>
      </c>
      <c r="D100" s="57" t="s">
        <v>31</v>
      </c>
      <c r="E100" s="83" t="s">
        <v>360</v>
      </c>
      <c r="F100" s="83" t="s">
        <v>361</v>
      </c>
      <c r="G100" s="82">
        <v>80000</v>
      </c>
      <c r="H100" s="83" t="s">
        <v>5</v>
      </c>
      <c r="I100" s="88"/>
      <c r="J100" s="54">
        <v>252000</v>
      </c>
      <c r="K100" s="54">
        <f t="shared" si="6"/>
        <v>252000</v>
      </c>
      <c r="L100" s="58" t="s">
        <v>124</v>
      </c>
      <c r="M100" s="56">
        <f t="shared" si="5"/>
        <v>12600</v>
      </c>
      <c r="N100" s="76" t="s">
        <v>124</v>
      </c>
      <c r="O100" s="76" t="s">
        <v>124</v>
      </c>
      <c r="P100" s="76" t="s">
        <v>124</v>
      </c>
      <c r="Q100" s="76" t="s">
        <v>124</v>
      </c>
      <c r="R100" s="76" t="s">
        <v>124</v>
      </c>
      <c r="S100" s="83"/>
      <c r="T100" s="83"/>
    </row>
    <row r="101" spans="2:20" x14ac:dyDescent="0.25">
      <c r="B101" s="82">
        <v>96</v>
      </c>
      <c r="C101" s="57" t="s">
        <v>486</v>
      </c>
      <c r="D101" s="57" t="s">
        <v>31</v>
      </c>
      <c r="E101" s="83" t="s">
        <v>362</v>
      </c>
      <c r="F101" s="83" t="s">
        <v>363</v>
      </c>
      <c r="G101" s="82">
        <v>82180</v>
      </c>
      <c r="H101" s="83" t="s">
        <v>11</v>
      </c>
      <c r="I101" s="88"/>
      <c r="J101" s="54">
        <v>400000</v>
      </c>
      <c r="K101" s="54">
        <f t="shared" si="6"/>
        <v>400000</v>
      </c>
      <c r="L101" s="58" t="s">
        <v>124</v>
      </c>
      <c r="M101" s="56">
        <f t="shared" si="5"/>
        <v>20000</v>
      </c>
      <c r="N101" s="76" t="s">
        <v>124</v>
      </c>
      <c r="O101" s="76" t="s">
        <v>124</v>
      </c>
      <c r="P101" s="76" t="s">
        <v>124</v>
      </c>
      <c r="Q101" s="76" t="s">
        <v>124</v>
      </c>
      <c r="R101" s="76" t="s">
        <v>124</v>
      </c>
      <c r="S101" s="83"/>
      <c r="T101" s="83"/>
    </row>
    <row r="102" spans="2:20" x14ac:dyDescent="0.25">
      <c r="B102" s="82">
        <v>97</v>
      </c>
      <c r="C102" s="57" t="s">
        <v>486</v>
      </c>
      <c r="D102" s="57" t="s">
        <v>31</v>
      </c>
      <c r="E102" s="83" t="s">
        <v>364</v>
      </c>
      <c r="F102" s="83" t="s">
        <v>365</v>
      </c>
      <c r="G102" s="82">
        <v>81802</v>
      </c>
      <c r="H102" s="83" t="s">
        <v>126</v>
      </c>
      <c r="I102" s="88"/>
      <c r="J102" s="54">
        <v>436000</v>
      </c>
      <c r="K102" s="54">
        <f t="shared" si="6"/>
        <v>436000</v>
      </c>
      <c r="L102" s="58" t="s">
        <v>124</v>
      </c>
      <c r="M102" s="56">
        <f t="shared" si="5"/>
        <v>21800</v>
      </c>
      <c r="N102" s="76" t="s">
        <v>124</v>
      </c>
      <c r="O102" s="76" t="s">
        <v>124</v>
      </c>
      <c r="P102" s="76" t="s">
        <v>124</v>
      </c>
      <c r="Q102" s="76" t="s">
        <v>124</v>
      </c>
      <c r="R102" s="76" t="s">
        <v>124</v>
      </c>
      <c r="S102" s="83"/>
      <c r="T102" s="83"/>
    </row>
    <row r="103" spans="2:20" x14ac:dyDescent="0.25">
      <c r="B103" s="82">
        <v>98</v>
      </c>
      <c r="C103" s="57" t="s">
        <v>486</v>
      </c>
      <c r="D103" s="57" t="s">
        <v>31</v>
      </c>
      <c r="E103" s="83" t="s">
        <v>366</v>
      </c>
      <c r="F103" s="83" t="s">
        <v>365</v>
      </c>
      <c r="G103" s="82">
        <v>81802</v>
      </c>
      <c r="H103" s="83" t="s">
        <v>126</v>
      </c>
      <c r="I103" s="88"/>
      <c r="J103" s="54">
        <v>839660</v>
      </c>
      <c r="K103" s="54">
        <f t="shared" si="6"/>
        <v>839660</v>
      </c>
      <c r="L103" s="58" t="s">
        <v>124</v>
      </c>
      <c r="M103" s="56">
        <f t="shared" si="5"/>
        <v>41983</v>
      </c>
      <c r="N103" s="76" t="s">
        <v>124</v>
      </c>
      <c r="O103" s="76" t="s">
        <v>124</v>
      </c>
      <c r="P103" s="76" t="s">
        <v>124</v>
      </c>
      <c r="Q103" s="76" t="s">
        <v>124</v>
      </c>
      <c r="R103" s="76" t="s">
        <v>124</v>
      </c>
      <c r="S103" s="83"/>
      <c r="T103" s="83"/>
    </row>
    <row r="104" spans="2:20" x14ac:dyDescent="0.25">
      <c r="B104" s="82">
        <v>99</v>
      </c>
      <c r="C104" s="57" t="s">
        <v>486</v>
      </c>
      <c r="D104" s="57" t="s">
        <v>31</v>
      </c>
      <c r="E104" s="83" t="s">
        <v>367</v>
      </c>
      <c r="F104" s="83" t="s">
        <v>365</v>
      </c>
      <c r="G104" s="82">
        <v>81802</v>
      </c>
      <c r="H104" s="83" t="s">
        <v>126</v>
      </c>
      <c r="I104" s="88"/>
      <c r="J104" s="54">
        <v>215240</v>
      </c>
      <c r="K104" s="54">
        <f t="shared" si="6"/>
        <v>215240</v>
      </c>
      <c r="L104" s="58" t="s">
        <v>124</v>
      </c>
      <c r="M104" s="56">
        <f t="shared" si="5"/>
        <v>10762</v>
      </c>
      <c r="N104" s="76" t="s">
        <v>124</v>
      </c>
      <c r="O104" s="76" t="s">
        <v>124</v>
      </c>
      <c r="P104" s="76" t="s">
        <v>124</v>
      </c>
      <c r="Q104" s="76" t="s">
        <v>124</v>
      </c>
      <c r="R104" s="76" t="s">
        <v>124</v>
      </c>
      <c r="S104" s="83"/>
      <c r="T104" s="83"/>
    </row>
    <row r="105" spans="2:20" x14ac:dyDescent="0.25">
      <c r="B105" s="82">
        <v>100</v>
      </c>
      <c r="C105" s="57" t="s">
        <v>486</v>
      </c>
      <c r="D105" s="57" t="s">
        <v>31</v>
      </c>
      <c r="E105" s="83" t="s">
        <v>368</v>
      </c>
      <c r="F105" s="83" t="s">
        <v>369</v>
      </c>
      <c r="G105" s="82">
        <v>80000</v>
      </c>
      <c r="H105" s="83" t="s">
        <v>5</v>
      </c>
      <c r="I105" s="88"/>
      <c r="J105" s="54">
        <v>72780</v>
      </c>
      <c r="K105" s="54">
        <f t="shared" si="6"/>
        <v>72780</v>
      </c>
      <c r="L105" s="58" t="s">
        <v>124</v>
      </c>
      <c r="M105" s="56">
        <f t="shared" si="5"/>
        <v>3639</v>
      </c>
      <c r="N105" s="76" t="s">
        <v>124</v>
      </c>
      <c r="O105" s="76" t="s">
        <v>124</v>
      </c>
      <c r="P105" s="76" t="s">
        <v>124</v>
      </c>
      <c r="Q105" s="76" t="s">
        <v>124</v>
      </c>
      <c r="R105" s="76" t="s">
        <v>124</v>
      </c>
      <c r="S105" s="83"/>
      <c r="T105" s="83"/>
    </row>
    <row r="106" spans="2:20" x14ac:dyDescent="0.25">
      <c r="B106" s="82">
        <v>101</v>
      </c>
      <c r="C106" s="57" t="s">
        <v>486</v>
      </c>
      <c r="D106" s="57" t="s">
        <v>31</v>
      </c>
      <c r="E106" s="83" t="s">
        <v>498</v>
      </c>
      <c r="F106" s="83" t="s">
        <v>371</v>
      </c>
      <c r="G106" s="82">
        <v>81200</v>
      </c>
      <c r="H106" s="83" t="s">
        <v>34</v>
      </c>
      <c r="I106" s="88"/>
      <c r="J106" s="54">
        <v>5500000</v>
      </c>
      <c r="K106" s="54">
        <f t="shared" si="6"/>
        <v>5500000</v>
      </c>
      <c r="L106" s="58" t="s">
        <v>124</v>
      </c>
      <c r="M106" s="56">
        <f t="shared" si="5"/>
        <v>275000</v>
      </c>
      <c r="N106" s="76" t="s">
        <v>124</v>
      </c>
      <c r="O106" s="76" t="s">
        <v>124</v>
      </c>
      <c r="P106" s="76" t="s">
        <v>124</v>
      </c>
      <c r="Q106" s="76" t="s">
        <v>124</v>
      </c>
      <c r="R106" s="76" t="s">
        <v>124</v>
      </c>
      <c r="S106" s="83"/>
      <c r="T106" s="83"/>
    </row>
    <row r="107" spans="2:20" x14ac:dyDescent="0.25">
      <c r="B107" s="82">
        <v>102</v>
      </c>
      <c r="C107" s="57" t="s">
        <v>486</v>
      </c>
      <c r="D107" s="57" t="s">
        <v>31</v>
      </c>
      <c r="E107" s="83" t="s">
        <v>499</v>
      </c>
      <c r="F107" s="83" t="s">
        <v>373</v>
      </c>
      <c r="G107" s="82">
        <v>81280</v>
      </c>
      <c r="H107" s="83" t="s">
        <v>34</v>
      </c>
      <c r="I107" s="88"/>
      <c r="J107" s="54">
        <v>681720</v>
      </c>
      <c r="K107" s="54">
        <f t="shared" si="6"/>
        <v>681720</v>
      </c>
      <c r="L107" s="58" t="s">
        <v>124</v>
      </c>
      <c r="M107" s="56">
        <f t="shared" si="5"/>
        <v>34086</v>
      </c>
      <c r="N107" s="76" t="s">
        <v>124</v>
      </c>
      <c r="O107" s="76" t="s">
        <v>124</v>
      </c>
      <c r="P107" s="76" t="s">
        <v>124</v>
      </c>
      <c r="Q107" s="76" t="s">
        <v>124</v>
      </c>
      <c r="R107" s="76" t="s">
        <v>124</v>
      </c>
      <c r="S107" s="83"/>
      <c r="T107" s="83"/>
    </row>
    <row r="108" spans="2:20" x14ac:dyDescent="0.25">
      <c r="B108" s="82">
        <v>103</v>
      </c>
      <c r="C108" s="57" t="s">
        <v>486</v>
      </c>
      <c r="D108" s="57" t="s">
        <v>31</v>
      </c>
      <c r="E108" s="83" t="s">
        <v>374</v>
      </c>
      <c r="F108" s="83" t="s">
        <v>375</v>
      </c>
      <c r="G108" s="82">
        <v>81891</v>
      </c>
      <c r="H108" s="83" t="s">
        <v>126</v>
      </c>
      <c r="I108" s="88"/>
      <c r="J108" s="54">
        <v>1200000</v>
      </c>
      <c r="K108" s="54">
        <f t="shared" si="6"/>
        <v>1200000</v>
      </c>
      <c r="L108" s="58" t="s">
        <v>124</v>
      </c>
      <c r="M108" s="56">
        <f t="shared" ref="M108:M163" si="7">(I108+J108)*5%</f>
        <v>60000</v>
      </c>
      <c r="N108" s="76" t="s">
        <v>124</v>
      </c>
      <c r="O108" s="76" t="s">
        <v>124</v>
      </c>
      <c r="P108" s="76" t="s">
        <v>124</v>
      </c>
      <c r="Q108" s="76" t="s">
        <v>124</v>
      </c>
      <c r="R108" s="76" t="s">
        <v>124</v>
      </c>
      <c r="S108" s="83"/>
      <c r="T108" s="83"/>
    </row>
    <row r="109" spans="2:20" x14ac:dyDescent="0.25">
      <c r="B109" s="82">
        <v>104</v>
      </c>
      <c r="C109" s="57" t="s">
        <v>486</v>
      </c>
      <c r="D109" s="57" t="s">
        <v>31</v>
      </c>
      <c r="E109" s="83" t="s">
        <v>376</v>
      </c>
      <c r="F109" s="83" t="s">
        <v>377</v>
      </c>
      <c r="G109" s="82">
        <v>80080</v>
      </c>
      <c r="H109" s="83" t="s">
        <v>5</v>
      </c>
      <c r="I109" s="88"/>
      <c r="J109" s="54">
        <v>121500</v>
      </c>
      <c r="K109" s="54">
        <f t="shared" ref="K109:K163" si="8">+I109+J109</f>
        <v>121500</v>
      </c>
      <c r="L109" s="58" t="s">
        <v>124</v>
      </c>
      <c r="M109" s="56">
        <f t="shared" si="7"/>
        <v>6075</v>
      </c>
      <c r="N109" s="76" t="s">
        <v>124</v>
      </c>
      <c r="O109" s="76" t="s">
        <v>124</v>
      </c>
      <c r="P109" s="76" t="s">
        <v>124</v>
      </c>
      <c r="Q109" s="76" t="s">
        <v>124</v>
      </c>
      <c r="R109" s="76" t="s">
        <v>124</v>
      </c>
      <c r="S109" s="83"/>
      <c r="T109" s="83"/>
    </row>
    <row r="110" spans="2:20" x14ac:dyDescent="0.25">
      <c r="B110" s="82">
        <v>105</v>
      </c>
      <c r="C110" s="57" t="s">
        <v>486</v>
      </c>
      <c r="D110" s="57" t="s">
        <v>31</v>
      </c>
      <c r="E110" s="83" t="s">
        <v>330</v>
      </c>
      <c r="F110" s="83" t="s">
        <v>379</v>
      </c>
      <c r="G110" s="82">
        <v>82124</v>
      </c>
      <c r="H110" s="83" t="s">
        <v>101</v>
      </c>
      <c r="I110" s="88"/>
      <c r="J110" s="54">
        <v>1139000</v>
      </c>
      <c r="K110" s="54">
        <f t="shared" si="8"/>
        <v>1139000</v>
      </c>
      <c r="L110" s="58" t="s">
        <v>124</v>
      </c>
      <c r="M110" s="56">
        <f t="shared" si="7"/>
        <v>56950</v>
      </c>
      <c r="N110" s="76" t="s">
        <v>124</v>
      </c>
      <c r="O110" s="76" t="s">
        <v>124</v>
      </c>
      <c r="P110" s="76" t="s">
        <v>124</v>
      </c>
      <c r="Q110" s="76" t="s">
        <v>124</v>
      </c>
      <c r="R110" s="76" t="s">
        <v>124</v>
      </c>
      <c r="S110" s="83"/>
      <c r="T110" s="83"/>
    </row>
    <row r="111" spans="2:20" x14ac:dyDescent="0.25">
      <c r="B111" s="82">
        <v>106</v>
      </c>
      <c r="C111" s="57" t="s">
        <v>486</v>
      </c>
      <c r="D111" s="57" t="s">
        <v>31</v>
      </c>
      <c r="E111" s="83" t="s">
        <v>380</v>
      </c>
      <c r="F111" s="83" t="s">
        <v>381</v>
      </c>
      <c r="G111" s="82">
        <v>91340</v>
      </c>
      <c r="H111" s="83" t="s">
        <v>34</v>
      </c>
      <c r="I111" s="88"/>
      <c r="J111" s="54">
        <v>54000</v>
      </c>
      <c r="K111" s="54">
        <f t="shared" si="8"/>
        <v>54000</v>
      </c>
      <c r="L111" s="58" t="s">
        <v>124</v>
      </c>
      <c r="M111" s="56">
        <f t="shared" si="7"/>
        <v>2700</v>
      </c>
      <c r="N111" s="76" t="s">
        <v>124</v>
      </c>
      <c r="O111" s="76" t="s">
        <v>124</v>
      </c>
      <c r="P111" s="76" t="s">
        <v>124</v>
      </c>
      <c r="Q111" s="76" t="s">
        <v>124</v>
      </c>
      <c r="R111" s="76" t="s">
        <v>124</v>
      </c>
      <c r="S111" s="83"/>
      <c r="T111" s="83"/>
    </row>
    <row r="112" spans="2:20" x14ac:dyDescent="0.25">
      <c r="B112" s="82">
        <v>107</v>
      </c>
      <c r="C112" s="57" t="s">
        <v>486</v>
      </c>
      <c r="D112" s="57" t="s">
        <v>31</v>
      </c>
      <c r="E112" s="83" t="s">
        <v>382</v>
      </c>
      <c r="F112" s="83" t="s">
        <v>383</v>
      </c>
      <c r="G112" s="82">
        <v>81369</v>
      </c>
      <c r="H112" s="83" t="s">
        <v>34</v>
      </c>
      <c r="I112" s="88"/>
      <c r="J112" s="54">
        <v>763580</v>
      </c>
      <c r="K112" s="54">
        <f t="shared" si="8"/>
        <v>763580</v>
      </c>
      <c r="L112" s="58" t="s">
        <v>124</v>
      </c>
      <c r="M112" s="56">
        <f t="shared" si="7"/>
        <v>38179</v>
      </c>
      <c r="N112" s="76" t="s">
        <v>124</v>
      </c>
      <c r="O112" s="76" t="s">
        <v>124</v>
      </c>
      <c r="P112" s="76" t="s">
        <v>124</v>
      </c>
      <c r="Q112" s="76" t="s">
        <v>124</v>
      </c>
      <c r="R112" s="76" t="s">
        <v>124</v>
      </c>
      <c r="S112" s="83"/>
      <c r="T112" s="83"/>
    </row>
    <row r="113" spans="2:20" x14ac:dyDescent="0.25">
      <c r="B113" s="82">
        <v>108</v>
      </c>
      <c r="C113" s="57" t="s">
        <v>486</v>
      </c>
      <c r="D113" s="57" t="s">
        <v>31</v>
      </c>
      <c r="E113" s="83" t="s">
        <v>384</v>
      </c>
      <c r="F113" s="83" t="s">
        <v>385</v>
      </c>
      <c r="G113" s="82">
        <v>80320</v>
      </c>
      <c r="H113" s="83" t="s">
        <v>130</v>
      </c>
      <c r="I113" s="88"/>
      <c r="J113" s="54">
        <v>267620</v>
      </c>
      <c r="K113" s="54">
        <f t="shared" si="8"/>
        <v>267620</v>
      </c>
      <c r="L113" s="58" t="s">
        <v>124</v>
      </c>
      <c r="M113" s="56">
        <f t="shared" si="7"/>
        <v>13381</v>
      </c>
      <c r="N113" s="76" t="s">
        <v>124</v>
      </c>
      <c r="O113" s="76" t="s">
        <v>124</v>
      </c>
      <c r="P113" s="76" t="s">
        <v>124</v>
      </c>
      <c r="Q113" s="76" t="s">
        <v>124</v>
      </c>
      <c r="R113" s="76" t="s">
        <v>124</v>
      </c>
      <c r="S113" s="83"/>
      <c r="T113" s="83"/>
    </row>
    <row r="114" spans="2:20" x14ac:dyDescent="0.25">
      <c r="B114" s="82">
        <v>109</v>
      </c>
      <c r="C114" s="57" t="s">
        <v>486</v>
      </c>
      <c r="D114" s="57" t="s">
        <v>31</v>
      </c>
      <c r="E114" s="83" t="s">
        <v>314</v>
      </c>
      <c r="F114" s="83" t="s">
        <v>385</v>
      </c>
      <c r="G114" s="82">
        <v>80320</v>
      </c>
      <c r="H114" s="83" t="s">
        <v>130</v>
      </c>
      <c r="I114" s="88"/>
      <c r="J114" s="54">
        <v>210720</v>
      </c>
      <c r="K114" s="54">
        <f t="shared" si="8"/>
        <v>210720</v>
      </c>
      <c r="L114" s="58" t="s">
        <v>124</v>
      </c>
      <c r="M114" s="56">
        <f t="shared" si="7"/>
        <v>10536</v>
      </c>
      <c r="N114" s="76" t="s">
        <v>124</v>
      </c>
      <c r="O114" s="76" t="s">
        <v>124</v>
      </c>
      <c r="P114" s="76" t="s">
        <v>124</v>
      </c>
      <c r="Q114" s="76" t="s">
        <v>124</v>
      </c>
      <c r="R114" s="76" t="s">
        <v>124</v>
      </c>
      <c r="S114" s="83"/>
      <c r="T114" s="83"/>
    </row>
    <row r="115" spans="2:20" x14ac:dyDescent="0.25">
      <c r="B115" s="82">
        <v>110</v>
      </c>
      <c r="C115" s="57" t="s">
        <v>486</v>
      </c>
      <c r="D115" s="57" t="s">
        <v>31</v>
      </c>
      <c r="E115" s="83" t="s">
        <v>386</v>
      </c>
      <c r="F115" s="83" t="s">
        <v>385</v>
      </c>
      <c r="G115" s="82">
        <v>80320</v>
      </c>
      <c r="H115" s="83" t="s">
        <v>130</v>
      </c>
      <c r="I115" s="88"/>
      <c r="J115" s="54">
        <v>232120</v>
      </c>
      <c r="K115" s="54">
        <f t="shared" si="8"/>
        <v>232120</v>
      </c>
      <c r="L115" s="58" t="s">
        <v>124</v>
      </c>
      <c r="M115" s="56">
        <f t="shared" si="7"/>
        <v>11606</v>
      </c>
      <c r="N115" s="76" t="s">
        <v>124</v>
      </c>
      <c r="O115" s="76" t="s">
        <v>124</v>
      </c>
      <c r="P115" s="76" t="s">
        <v>124</v>
      </c>
      <c r="Q115" s="76" t="s">
        <v>124</v>
      </c>
      <c r="R115" s="76" t="s">
        <v>124</v>
      </c>
      <c r="S115" s="83"/>
      <c r="T115" s="83"/>
    </row>
    <row r="116" spans="2:20" x14ac:dyDescent="0.25">
      <c r="B116" s="82">
        <v>111</v>
      </c>
      <c r="C116" s="57" t="s">
        <v>486</v>
      </c>
      <c r="D116" s="57" t="s">
        <v>31</v>
      </c>
      <c r="E116" s="83" t="s">
        <v>387</v>
      </c>
      <c r="F116" s="83" t="s">
        <v>385</v>
      </c>
      <c r="G116" s="82">
        <v>80320</v>
      </c>
      <c r="H116" s="83" t="s">
        <v>130</v>
      </c>
      <c r="I116" s="88"/>
      <c r="J116" s="54">
        <v>300000</v>
      </c>
      <c r="K116" s="54">
        <f t="shared" si="8"/>
        <v>300000</v>
      </c>
      <c r="L116" s="58" t="s">
        <v>124</v>
      </c>
      <c r="M116" s="56">
        <f t="shared" si="7"/>
        <v>15000</v>
      </c>
      <c r="N116" s="76" t="s">
        <v>124</v>
      </c>
      <c r="O116" s="76" t="s">
        <v>124</v>
      </c>
      <c r="P116" s="76" t="s">
        <v>124</v>
      </c>
      <c r="Q116" s="76" t="s">
        <v>124</v>
      </c>
      <c r="R116" s="76" t="s">
        <v>124</v>
      </c>
      <c r="S116" s="83"/>
      <c r="T116" s="83"/>
    </row>
    <row r="117" spans="2:20" x14ac:dyDescent="0.25">
      <c r="B117" s="82">
        <v>112</v>
      </c>
      <c r="C117" s="57" t="s">
        <v>486</v>
      </c>
      <c r="D117" s="57" t="s">
        <v>31</v>
      </c>
      <c r="E117" s="83" t="s">
        <v>388</v>
      </c>
      <c r="F117" s="83" t="s">
        <v>385</v>
      </c>
      <c r="G117" s="82">
        <v>80320</v>
      </c>
      <c r="H117" s="83" t="s">
        <v>130</v>
      </c>
      <c r="I117" s="88"/>
      <c r="J117" s="54">
        <v>108000</v>
      </c>
      <c r="K117" s="54">
        <f t="shared" si="8"/>
        <v>108000</v>
      </c>
      <c r="L117" s="58" t="s">
        <v>124</v>
      </c>
      <c r="M117" s="56">
        <f t="shared" si="7"/>
        <v>5400</v>
      </c>
      <c r="N117" s="76" t="s">
        <v>124</v>
      </c>
      <c r="O117" s="76" t="s">
        <v>124</v>
      </c>
      <c r="P117" s="76" t="s">
        <v>124</v>
      </c>
      <c r="Q117" s="76" t="s">
        <v>124</v>
      </c>
      <c r="R117" s="76" t="s">
        <v>124</v>
      </c>
      <c r="S117" s="83"/>
      <c r="T117" s="83"/>
    </row>
    <row r="118" spans="2:20" x14ac:dyDescent="0.25">
      <c r="B118" s="82">
        <v>113</v>
      </c>
      <c r="C118" s="57" t="s">
        <v>486</v>
      </c>
      <c r="D118" s="57" t="s">
        <v>31</v>
      </c>
      <c r="E118" s="83" t="s">
        <v>389</v>
      </c>
      <c r="F118" s="83" t="s">
        <v>500</v>
      </c>
      <c r="G118" s="82">
        <v>81280</v>
      </c>
      <c r="H118" s="83" t="s">
        <v>34</v>
      </c>
      <c r="I118" s="88"/>
      <c r="J118" s="54">
        <v>108000</v>
      </c>
      <c r="K118" s="54">
        <f t="shared" si="8"/>
        <v>108000</v>
      </c>
      <c r="L118" s="58" t="s">
        <v>124</v>
      </c>
      <c r="M118" s="56">
        <f t="shared" si="7"/>
        <v>5400</v>
      </c>
      <c r="N118" s="76" t="s">
        <v>124</v>
      </c>
      <c r="O118" s="76" t="s">
        <v>124</v>
      </c>
      <c r="P118" s="76" t="s">
        <v>124</v>
      </c>
      <c r="Q118" s="76" t="s">
        <v>124</v>
      </c>
      <c r="R118" s="76" t="s">
        <v>124</v>
      </c>
      <c r="S118" s="83"/>
      <c r="T118" s="83"/>
    </row>
    <row r="119" spans="2:20" x14ac:dyDescent="0.25">
      <c r="B119" s="82">
        <v>114</v>
      </c>
      <c r="C119" s="57" t="s">
        <v>486</v>
      </c>
      <c r="D119" s="57" t="s">
        <v>31</v>
      </c>
      <c r="E119" s="83" t="s">
        <v>390</v>
      </c>
      <c r="F119" s="83" t="s">
        <v>391</v>
      </c>
      <c r="G119" s="82">
        <v>81280</v>
      </c>
      <c r="H119" s="83" t="s">
        <v>34</v>
      </c>
      <c r="I119" s="88"/>
      <c r="J119" s="54">
        <v>252120</v>
      </c>
      <c r="K119" s="54">
        <f t="shared" si="8"/>
        <v>252120</v>
      </c>
      <c r="L119" s="58" t="s">
        <v>124</v>
      </c>
      <c r="M119" s="56">
        <f t="shared" si="7"/>
        <v>12606</v>
      </c>
      <c r="N119" s="76" t="s">
        <v>124</v>
      </c>
      <c r="O119" s="76" t="s">
        <v>124</v>
      </c>
      <c r="P119" s="76" t="s">
        <v>124</v>
      </c>
      <c r="Q119" s="76" t="s">
        <v>124</v>
      </c>
      <c r="R119" s="76" t="s">
        <v>124</v>
      </c>
      <c r="S119" s="83"/>
      <c r="T119" s="83"/>
    </row>
    <row r="120" spans="2:20" x14ac:dyDescent="0.25">
      <c r="B120" s="82">
        <v>115</v>
      </c>
      <c r="C120" s="57" t="s">
        <v>486</v>
      </c>
      <c r="D120" s="57" t="s">
        <v>31</v>
      </c>
      <c r="E120" s="83" t="s">
        <v>501</v>
      </c>
      <c r="F120" s="83" t="s">
        <v>393</v>
      </c>
      <c r="G120" s="82">
        <v>82140</v>
      </c>
      <c r="H120" s="83" t="s">
        <v>101</v>
      </c>
      <c r="I120" s="88"/>
      <c r="J120" s="54">
        <v>2773680</v>
      </c>
      <c r="K120" s="54">
        <f t="shared" si="8"/>
        <v>2773680</v>
      </c>
      <c r="L120" s="58" t="s">
        <v>124</v>
      </c>
      <c r="M120" s="56">
        <f t="shared" si="7"/>
        <v>138684</v>
      </c>
      <c r="N120" s="76" t="s">
        <v>124</v>
      </c>
      <c r="O120" s="76" t="s">
        <v>124</v>
      </c>
      <c r="P120" s="76" t="s">
        <v>124</v>
      </c>
      <c r="Q120" s="76" t="s">
        <v>124</v>
      </c>
      <c r="R120" s="76" t="s">
        <v>124</v>
      </c>
      <c r="S120" s="83"/>
      <c r="T120" s="83"/>
    </row>
    <row r="121" spans="2:20" x14ac:dyDescent="0.25">
      <c r="B121" s="82">
        <v>116</v>
      </c>
      <c r="C121" s="57" t="s">
        <v>486</v>
      </c>
      <c r="D121" s="57" t="s">
        <v>31</v>
      </c>
      <c r="E121" s="83" t="s">
        <v>502</v>
      </c>
      <c r="F121" s="83" t="s">
        <v>395</v>
      </c>
      <c r="G121" s="82">
        <v>81490</v>
      </c>
      <c r="H121" s="83" t="s">
        <v>189</v>
      </c>
      <c r="I121" s="88"/>
      <c r="J121" s="54">
        <v>231300</v>
      </c>
      <c r="K121" s="54">
        <f t="shared" si="8"/>
        <v>231300</v>
      </c>
      <c r="L121" s="58" t="s">
        <v>124</v>
      </c>
      <c r="M121" s="56">
        <f t="shared" si="7"/>
        <v>11565</v>
      </c>
      <c r="N121" s="76" t="s">
        <v>124</v>
      </c>
      <c r="O121" s="76" t="s">
        <v>124</v>
      </c>
      <c r="P121" s="76" t="s">
        <v>124</v>
      </c>
      <c r="Q121" s="76" t="s">
        <v>124</v>
      </c>
      <c r="R121" s="76" t="s">
        <v>124</v>
      </c>
      <c r="S121" s="83"/>
      <c r="T121" s="83"/>
    </row>
    <row r="122" spans="2:20" x14ac:dyDescent="0.25">
      <c r="B122" s="82">
        <v>117</v>
      </c>
      <c r="C122" s="57" t="s">
        <v>486</v>
      </c>
      <c r="D122" s="57" t="s">
        <v>31</v>
      </c>
      <c r="E122" s="83" t="s">
        <v>396</v>
      </c>
      <c r="F122" s="83" t="s">
        <v>397</v>
      </c>
      <c r="G122" s="82">
        <v>81040</v>
      </c>
      <c r="H122" s="83" t="s">
        <v>4</v>
      </c>
      <c r="I122" s="88"/>
      <c r="J122" s="54">
        <v>117720</v>
      </c>
      <c r="K122" s="54">
        <f t="shared" si="8"/>
        <v>117720</v>
      </c>
      <c r="L122" s="58" t="s">
        <v>124</v>
      </c>
      <c r="M122" s="56">
        <f t="shared" si="7"/>
        <v>5886</v>
      </c>
      <c r="N122" s="76" t="s">
        <v>124</v>
      </c>
      <c r="O122" s="76" t="s">
        <v>124</v>
      </c>
      <c r="P122" s="76" t="s">
        <v>124</v>
      </c>
      <c r="Q122" s="76" t="s">
        <v>124</v>
      </c>
      <c r="R122" s="76" t="s">
        <v>124</v>
      </c>
      <c r="S122" s="83"/>
      <c r="T122" s="83"/>
    </row>
    <row r="123" spans="2:20" x14ac:dyDescent="0.25">
      <c r="B123" s="82">
        <v>118</v>
      </c>
      <c r="C123" s="57" t="s">
        <v>486</v>
      </c>
      <c r="D123" s="57" t="s">
        <v>31</v>
      </c>
      <c r="E123" s="83" t="s">
        <v>283</v>
      </c>
      <c r="F123" s="83" t="s">
        <v>398</v>
      </c>
      <c r="G123" s="82">
        <v>81040</v>
      </c>
      <c r="H123" s="83" t="s">
        <v>4</v>
      </c>
      <c r="I123" s="88"/>
      <c r="J123" s="54">
        <v>251160</v>
      </c>
      <c r="K123" s="54">
        <f t="shared" si="8"/>
        <v>251160</v>
      </c>
      <c r="L123" s="58" t="s">
        <v>124</v>
      </c>
      <c r="M123" s="56">
        <f t="shared" si="7"/>
        <v>12558</v>
      </c>
      <c r="N123" s="76" t="s">
        <v>124</v>
      </c>
      <c r="O123" s="76" t="s">
        <v>124</v>
      </c>
      <c r="P123" s="76" t="s">
        <v>124</v>
      </c>
      <c r="Q123" s="76" t="s">
        <v>124</v>
      </c>
      <c r="R123" s="76" t="s">
        <v>124</v>
      </c>
      <c r="S123" s="83"/>
      <c r="T123" s="83"/>
    </row>
    <row r="124" spans="2:20" x14ac:dyDescent="0.25">
      <c r="B124" s="82">
        <v>119</v>
      </c>
      <c r="C124" s="57" t="s">
        <v>486</v>
      </c>
      <c r="D124" s="57" t="s">
        <v>31</v>
      </c>
      <c r="E124" s="83" t="s">
        <v>503</v>
      </c>
      <c r="F124" s="83" t="s">
        <v>400</v>
      </c>
      <c r="G124" s="82">
        <v>80058</v>
      </c>
      <c r="H124" s="83" t="s">
        <v>5</v>
      </c>
      <c r="I124" s="88"/>
      <c r="J124" s="54">
        <v>1182040</v>
      </c>
      <c r="K124" s="54">
        <f t="shared" si="8"/>
        <v>1182040</v>
      </c>
      <c r="L124" s="58" t="s">
        <v>124</v>
      </c>
      <c r="M124" s="56">
        <f t="shared" si="7"/>
        <v>59102</v>
      </c>
      <c r="N124" s="76" t="s">
        <v>124</v>
      </c>
      <c r="O124" s="76" t="s">
        <v>124</v>
      </c>
      <c r="P124" s="76" t="s">
        <v>124</v>
      </c>
      <c r="Q124" s="76" t="s">
        <v>124</v>
      </c>
      <c r="R124" s="76" t="s">
        <v>124</v>
      </c>
      <c r="S124" s="83"/>
      <c r="T124" s="83"/>
    </row>
    <row r="125" spans="2:20" x14ac:dyDescent="0.25">
      <c r="B125" s="82">
        <v>120</v>
      </c>
      <c r="C125" s="57" t="s">
        <v>486</v>
      </c>
      <c r="D125" s="57" t="s">
        <v>31</v>
      </c>
      <c r="E125" s="83" t="s">
        <v>401</v>
      </c>
      <c r="F125" s="83" t="s">
        <v>402</v>
      </c>
      <c r="G125" s="82">
        <v>82120</v>
      </c>
      <c r="H125" s="83" t="s">
        <v>101</v>
      </c>
      <c r="I125" s="88"/>
      <c r="J125" s="54">
        <v>1182040</v>
      </c>
      <c r="K125" s="54">
        <f t="shared" si="8"/>
        <v>1182040</v>
      </c>
      <c r="L125" s="58" t="s">
        <v>124</v>
      </c>
      <c r="M125" s="56">
        <f t="shared" si="7"/>
        <v>59102</v>
      </c>
      <c r="N125" s="76" t="s">
        <v>124</v>
      </c>
      <c r="O125" s="76" t="s">
        <v>124</v>
      </c>
      <c r="P125" s="76" t="s">
        <v>124</v>
      </c>
      <c r="Q125" s="76" t="s">
        <v>124</v>
      </c>
      <c r="R125" s="76" t="s">
        <v>124</v>
      </c>
      <c r="S125" s="83"/>
      <c r="T125" s="83"/>
    </row>
    <row r="126" spans="2:20" x14ac:dyDescent="0.25">
      <c r="B126" s="82">
        <v>121</v>
      </c>
      <c r="C126" s="57" t="s">
        <v>486</v>
      </c>
      <c r="D126" s="57" t="s">
        <v>31</v>
      </c>
      <c r="E126" s="83" t="s">
        <v>403</v>
      </c>
      <c r="F126" s="83" t="s">
        <v>404</v>
      </c>
      <c r="G126" s="82">
        <v>82110</v>
      </c>
      <c r="H126" s="83" t="s">
        <v>101</v>
      </c>
      <c r="I126" s="88"/>
      <c r="J126" s="54">
        <v>1182040</v>
      </c>
      <c r="K126" s="54">
        <f t="shared" si="8"/>
        <v>1182040</v>
      </c>
      <c r="L126" s="58" t="s">
        <v>124</v>
      </c>
      <c r="M126" s="56">
        <f t="shared" si="7"/>
        <v>59102</v>
      </c>
      <c r="N126" s="76" t="s">
        <v>124</v>
      </c>
      <c r="O126" s="76" t="s">
        <v>124</v>
      </c>
      <c r="P126" s="76" t="s">
        <v>124</v>
      </c>
      <c r="Q126" s="76" t="s">
        <v>124</v>
      </c>
      <c r="R126" s="76" t="s">
        <v>124</v>
      </c>
      <c r="S126" s="83"/>
      <c r="T126" s="83"/>
    </row>
    <row r="127" spans="2:20" x14ac:dyDescent="0.25">
      <c r="B127" s="82">
        <v>122</v>
      </c>
      <c r="C127" s="57" t="s">
        <v>486</v>
      </c>
      <c r="D127" s="57" t="s">
        <v>31</v>
      </c>
      <c r="E127" s="83" t="s">
        <v>390</v>
      </c>
      <c r="F127" s="83" t="s">
        <v>405</v>
      </c>
      <c r="G127" s="82">
        <v>81271</v>
      </c>
      <c r="H127" s="83" t="s">
        <v>34</v>
      </c>
      <c r="I127" s="88"/>
      <c r="J127" s="54">
        <v>1182040</v>
      </c>
      <c r="K127" s="54">
        <f t="shared" si="8"/>
        <v>1182040</v>
      </c>
      <c r="L127" s="58" t="s">
        <v>124</v>
      </c>
      <c r="M127" s="56">
        <f t="shared" si="7"/>
        <v>59102</v>
      </c>
      <c r="N127" s="76" t="s">
        <v>124</v>
      </c>
      <c r="O127" s="76" t="s">
        <v>124</v>
      </c>
      <c r="P127" s="76" t="s">
        <v>124</v>
      </c>
      <c r="Q127" s="76" t="s">
        <v>124</v>
      </c>
      <c r="R127" s="76" t="s">
        <v>124</v>
      </c>
      <c r="S127" s="83"/>
      <c r="T127" s="83"/>
    </row>
    <row r="128" spans="2:20" x14ac:dyDescent="0.25">
      <c r="B128" s="82">
        <v>123</v>
      </c>
      <c r="C128" s="57" t="s">
        <v>486</v>
      </c>
      <c r="D128" s="57" t="s">
        <v>31</v>
      </c>
      <c r="E128" s="83" t="s">
        <v>504</v>
      </c>
      <c r="F128" s="83" t="s">
        <v>407</v>
      </c>
      <c r="G128" s="82">
        <v>82010</v>
      </c>
      <c r="H128" s="83" t="s">
        <v>101</v>
      </c>
      <c r="I128" s="88"/>
      <c r="J128" s="54">
        <v>1182040</v>
      </c>
      <c r="K128" s="54">
        <f t="shared" si="8"/>
        <v>1182040</v>
      </c>
      <c r="L128" s="58" t="s">
        <v>124</v>
      </c>
      <c r="M128" s="56">
        <f t="shared" si="7"/>
        <v>59102</v>
      </c>
      <c r="N128" s="76" t="s">
        <v>124</v>
      </c>
      <c r="O128" s="76" t="s">
        <v>124</v>
      </c>
      <c r="P128" s="76" t="s">
        <v>124</v>
      </c>
      <c r="Q128" s="76" t="s">
        <v>124</v>
      </c>
      <c r="R128" s="76" t="s">
        <v>124</v>
      </c>
      <c r="S128" s="83"/>
      <c r="T128" s="83"/>
    </row>
    <row r="129" spans="2:20" x14ac:dyDescent="0.25">
      <c r="B129" s="82">
        <v>124</v>
      </c>
      <c r="C129" s="57" t="s">
        <v>486</v>
      </c>
      <c r="D129" s="57" t="s">
        <v>31</v>
      </c>
      <c r="E129" s="83" t="s">
        <v>505</v>
      </c>
      <c r="F129" s="83" t="s">
        <v>407</v>
      </c>
      <c r="G129" s="82">
        <v>82010</v>
      </c>
      <c r="H129" s="83" t="s">
        <v>101</v>
      </c>
      <c r="I129" s="88"/>
      <c r="J129" s="54">
        <v>108000</v>
      </c>
      <c r="K129" s="54">
        <f t="shared" si="8"/>
        <v>108000</v>
      </c>
      <c r="L129" s="58" t="s">
        <v>124</v>
      </c>
      <c r="M129" s="56">
        <f t="shared" si="7"/>
        <v>5400</v>
      </c>
      <c r="N129" s="76" t="s">
        <v>124</v>
      </c>
      <c r="O129" s="76" t="s">
        <v>124</v>
      </c>
      <c r="P129" s="76" t="s">
        <v>124</v>
      </c>
      <c r="Q129" s="76" t="s">
        <v>124</v>
      </c>
      <c r="R129" s="76" t="s">
        <v>124</v>
      </c>
      <c r="S129" s="83"/>
      <c r="T129" s="83"/>
    </row>
    <row r="130" spans="2:20" x14ac:dyDescent="0.25">
      <c r="B130" s="82">
        <v>125</v>
      </c>
      <c r="C130" s="57" t="s">
        <v>486</v>
      </c>
      <c r="D130" s="57" t="s">
        <v>31</v>
      </c>
      <c r="E130" s="83" t="s">
        <v>506</v>
      </c>
      <c r="F130" s="83" t="s">
        <v>410</v>
      </c>
      <c r="G130" s="82">
        <v>80000</v>
      </c>
      <c r="H130" s="83" t="s">
        <v>5</v>
      </c>
      <c r="I130" s="88"/>
      <c r="J130" s="54">
        <v>371160</v>
      </c>
      <c r="K130" s="54">
        <f t="shared" si="8"/>
        <v>371160</v>
      </c>
      <c r="L130" s="58" t="s">
        <v>124</v>
      </c>
      <c r="M130" s="56">
        <f t="shared" si="7"/>
        <v>18558</v>
      </c>
      <c r="N130" s="76" t="s">
        <v>124</v>
      </c>
      <c r="O130" s="76" t="s">
        <v>124</v>
      </c>
      <c r="P130" s="76" t="s">
        <v>124</v>
      </c>
      <c r="Q130" s="76" t="s">
        <v>124</v>
      </c>
      <c r="R130" s="76" t="s">
        <v>124</v>
      </c>
      <c r="S130" s="83"/>
      <c r="T130" s="83"/>
    </row>
    <row r="131" spans="2:20" x14ac:dyDescent="0.25">
      <c r="B131" s="82">
        <v>126</v>
      </c>
      <c r="C131" s="57" t="s">
        <v>486</v>
      </c>
      <c r="D131" s="57" t="s">
        <v>31</v>
      </c>
      <c r="E131" s="83" t="s">
        <v>507</v>
      </c>
      <c r="F131" s="83" t="s">
        <v>412</v>
      </c>
      <c r="G131" s="82">
        <v>82210</v>
      </c>
      <c r="H131" s="83" t="s">
        <v>101</v>
      </c>
      <c r="I131" s="88"/>
      <c r="J131" s="54">
        <v>638100</v>
      </c>
      <c r="K131" s="54">
        <f t="shared" si="8"/>
        <v>638100</v>
      </c>
      <c r="L131" s="58" t="s">
        <v>124</v>
      </c>
      <c r="M131" s="56">
        <f t="shared" si="7"/>
        <v>31905</v>
      </c>
      <c r="N131" s="76" t="s">
        <v>124</v>
      </c>
      <c r="O131" s="76" t="s">
        <v>124</v>
      </c>
      <c r="P131" s="76" t="s">
        <v>124</v>
      </c>
      <c r="Q131" s="76" t="s">
        <v>124</v>
      </c>
      <c r="R131" s="76" t="s">
        <v>124</v>
      </c>
      <c r="S131" s="83"/>
      <c r="T131" s="83"/>
    </row>
    <row r="132" spans="2:20" x14ac:dyDescent="0.25">
      <c r="B132" s="82">
        <v>127</v>
      </c>
      <c r="C132" s="57" t="s">
        <v>486</v>
      </c>
      <c r="D132" s="57" t="s">
        <v>31</v>
      </c>
      <c r="E132" s="83" t="s">
        <v>508</v>
      </c>
      <c r="F132" s="83" t="s">
        <v>414</v>
      </c>
      <c r="G132" s="82">
        <v>82124</v>
      </c>
      <c r="H132" s="83" t="s">
        <v>101</v>
      </c>
      <c r="I132" s="88"/>
      <c r="J132" s="54">
        <v>137200</v>
      </c>
      <c r="K132" s="54">
        <f t="shared" si="8"/>
        <v>137200</v>
      </c>
      <c r="L132" s="58" t="s">
        <v>124</v>
      </c>
      <c r="M132" s="56">
        <f t="shared" si="7"/>
        <v>6860</v>
      </c>
      <c r="N132" s="76" t="s">
        <v>124</v>
      </c>
      <c r="O132" s="76" t="s">
        <v>124</v>
      </c>
      <c r="P132" s="76" t="s">
        <v>124</v>
      </c>
      <c r="Q132" s="76" t="s">
        <v>124</v>
      </c>
      <c r="R132" s="76" t="s">
        <v>124</v>
      </c>
      <c r="S132" s="83"/>
      <c r="T132" s="83"/>
    </row>
    <row r="133" spans="2:20" x14ac:dyDescent="0.25">
      <c r="B133" s="82">
        <v>128</v>
      </c>
      <c r="C133" s="57" t="s">
        <v>486</v>
      </c>
      <c r="D133" s="57" t="s">
        <v>31</v>
      </c>
      <c r="E133" s="83" t="s">
        <v>415</v>
      </c>
      <c r="F133" s="83" t="s">
        <v>416</v>
      </c>
      <c r="G133" s="82">
        <v>82126</v>
      </c>
      <c r="H133" s="83" t="s">
        <v>101</v>
      </c>
      <c r="I133" s="88"/>
      <c r="J133" s="54">
        <v>378000</v>
      </c>
      <c r="K133" s="54">
        <f t="shared" si="8"/>
        <v>378000</v>
      </c>
      <c r="L133" s="58" t="s">
        <v>124</v>
      </c>
      <c r="M133" s="56">
        <f t="shared" si="7"/>
        <v>18900</v>
      </c>
      <c r="N133" s="76" t="s">
        <v>124</v>
      </c>
      <c r="O133" s="76" t="s">
        <v>124</v>
      </c>
      <c r="P133" s="76" t="s">
        <v>124</v>
      </c>
      <c r="Q133" s="76" t="s">
        <v>124</v>
      </c>
      <c r="R133" s="76" t="s">
        <v>124</v>
      </c>
      <c r="S133" s="83"/>
      <c r="T133" s="83"/>
    </row>
    <row r="134" spans="2:20" x14ac:dyDescent="0.25">
      <c r="B134" s="82">
        <v>129</v>
      </c>
      <c r="C134" s="57" t="s">
        <v>486</v>
      </c>
      <c r="D134" s="57" t="s">
        <v>31</v>
      </c>
      <c r="E134" s="83" t="s">
        <v>417</v>
      </c>
      <c r="F134" s="83" t="s">
        <v>418</v>
      </c>
      <c r="G134" s="82">
        <v>82181</v>
      </c>
      <c r="H134" s="83" t="s">
        <v>101</v>
      </c>
      <c r="I134" s="88"/>
      <c r="J134" s="54">
        <v>676000</v>
      </c>
      <c r="K134" s="54">
        <f t="shared" si="8"/>
        <v>676000</v>
      </c>
      <c r="L134" s="58" t="s">
        <v>124</v>
      </c>
      <c r="M134" s="56">
        <f t="shared" si="7"/>
        <v>33800</v>
      </c>
      <c r="N134" s="76" t="s">
        <v>124</v>
      </c>
      <c r="O134" s="76" t="s">
        <v>124</v>
      </c>
      <c r="P134" s="76" t="s">
        <v>124</v>
      </c>
      <c r="Q134" s="76" t="s">
        <v>124</v>
      </c>
      <c r="R134" s="76" t="s">
        <v>124</v>
      </c>
      <c r="S134" s="83"/>
      <c r="T134" s="83"/>
    </row>
    <row r="135" spans="2:20" x14ac:dyDescent="0.25">
      <c r="B135" s="82">
        <v>130</v>
      </c>
      <c r="C135" s="57" t="s">
        <v>486</v>
      </c>
      <c r="D135" s="57" t="s">
        <v>31</v>
      </c>
      <c r="E135" s="83" t="s">
        <v>132</v>
      </c>
      <c r="F135" s="83" t="s">
        <v>419</v>
      </c>
      <c r="G135" s="82">
        <v>80220</v>
      </c>
      <c r="H135" s="83" t="s">
        <v>5</v>
      </c>
      <c r="I135" s="88"/>
      <c r="J135" s="54">
        <v>606000</v>
      </c>
      <c r="K135" s="54">
        <f t="shared" si="8"/>
        <v>606000</v>
      </c>
      <c r="L135" s="58" t="s">
        <v>124</v>
      </c>
      <c r="M135" s="56">
        <f t="shared" si="7"/>
        <v>30300</v>
      </c>
      <c r="N135" s="76" t="s">
        <v>124</v>
      </c>
      <c r="O135" s="76" t="s">
        <v>124</v>
      </c>
      <c r="P135" s="76" t="s">
        <v>124</v>
      </c>
      <c r="Q135" s="76" t="s">
        <v>124</v>
      </c>
      <c r="R135" s="76" t="s">
        <v>124</v>
      </c>
      <c r="S135" s="83"/>
      <c r="T135" s="83"/>
    </row>
    <row r="136" spans="2:20" x14ac:dyDescent="0.25">
      <c r="B136" s="82">
        <v>131</v>
      </c>
      <c r="C136" s="57" t="s">
        <v>486</v>
      </c>
      <c r="D136" s="57" t="s">
        <v>31</v>
      </c>
      <c r="E136" s="83" t="s">
        <v>420</v>
      </c>
      <c r="F136" s="83" t="s">
        <v>421</v>
      </c>
      <c r="G136" s="82">
        <v>82017</v>
      </c>
      <c r="H136" s="83" t="s">
        <v>101</v>
      </c>
      <c r="I136" s="88"/>
      <c r="J136" s="54">
        <v>300000</v>
      </c>
      <c r="K136" s="54">
        <f t="shared" si="8"/>
        <v>300000</v>
      </c>
      <c r="L136" s="58" t="s">
        <v>124</v>
      </c>
      <c r="M136" s="56">
        <f t="shared" si="7"/>
        <v>15000</v>
      </c>
      <c r="N136" s="76" t="s">
        <v>124</v>
      </c>
      <c r="O136" s="76" t="s">
        <v>124</v>
      </c>
      <c r="P136" s="76" t="s">
        <v>124</v>
      </c>
      <c r="Q136" s="76" t="s">
        <v>124</v>
      </c>
      <c r="R136" s="76" t="s">
        <v>124</v>
      </c>
      <c r="S136" s="83"/>
      <c r="T136" s="83"/>
    </row>
    <row r="137" spans="2:20" x14ac:dyDescent="0.25">
      <c r="B137" s="82">
        <v>132</v>
      </c>
      <c r="C137" s="57" t="s">
        <v>486</v>
      </c>
      <c r="D137" s="57" t="s">
        <v>31</v>
      </c>
      <c r="E137" s="83" t="s">
        <v>422</v>
      </c>
      <c r="F137" s="83" t="s">
        <v>423</v>
      </c>
      <c r="G137" s="82">
        <v>82017</v>
      </c>
      <c r="H137" s="83" t="s">
        <v>101</v>
      </c>
      <c r="I137" s="88"/>
      <c r="J137" s="54">
        <v>600000</v>
      </c>
      <c r="K137" s="54">
        <f t="shared" si="8"/>
        <v>600000</v>
      </c>
      <c r="L137" s="58" t="s">
        <v>124</v>
      </c>
      <c r="M137" s="56">
        <f t="shared" si="7"/>
        <v>30000</v>
      </c>
      <c r="N137" s="76" t="s">
        <v>124</v>
      </c>
      <c r="O137" s="76" t="s">
        <v>124</v>
      </c>
      <c r="P137" s="76" t="s">
        <v>124</v>
      </c>
      <c r="Q137" s="76" t="s">
        <v>124</v>
      </c>
      <c r="R137" s="76" t="s">
        <v>124</v>
      </c>
      <c r="S137" s="83"/>
      <c r="T137" s="83"/>
    </row>
    <row r="138" spans="2:20" x14ac:dyDescent="0.25">
      <c r="B138" s="82">
        <v>133</v>
      </c>
      <c r="C138" s="57" t="s">
        <v>486</v>
      </c>
      <c r="D138" s="57" t="s">
        <v>31</v>
      </c>
      <c r="E138" s="83" t="s">
        <v>424</v>
      </c>
      <c r="F138" s="83" t="s">
        <v>425</v>
      </c>
      <c r="G138" s="82">
        <v>81315</v>
      </c>
      <c r="H138" s="83" t="s">
        <v>34</v>
      </c>
      <c r="I138" s="88"/>
      <c r="J138" s="54">
        <v>450000</v>
      </c>
      <c r="K138" s="54">
        <f t="shared" si="8"/>
        <v>450000</v>
      </c>
      <c r="L138" s="58" t="s">
        <v>124</v>
      </c>
      <c r="M138" s="56">
        <f t="shared" si="7"/>
        <v>22500</v>
      </c>
      <c r="N138" s="76" t="s">
        <v>124</v>
      </c>
      <c r="O138" s="76" t="s">
        <v>124</v>
      </c>
      <c r="P138" s="76" t="s">
        <v>124</v>
      </c>
      <c r="Q138" s="76" t="s">
        <v>124</v>
      </c>
      <c r="R138" s="76" t="s">
        <v>124</v>
      </c>
      <c r="S138" s="83"/>
      <c r="T138" s="83"/>
    </row>
    <row r="139" spans="2:20" x14ac:dyDescent="0.25">
      <c r="B139" s="82">
        <v>134</v>
      </c>
      <c r="C139" s="57" t="s">
        <v>486</v>
      </c>
      <c r="D139" s="57" t="s">
        <v>31</v>
      </c>
      <c r="E139" s="83" t="s">
        <v>426</v>
      </c>
      <c r="F139" s="83" t="s">
        <v>427</v>
      </c>
      <c r="G139" s="82">
        <v>80160</v>
      </c>
      <c r="H139" s="83" t="s">
        <v>5</v>
      </c>
      <c r="I139" s="88"/>
      <c r="J139" s="54">
        <v>480000</v>
      </c>
      <c r="K139" s="54">
        <f t="shared" si="8"/>
        <v>480000</v>
      </c>
      <c r="L139" s="58" t="s">
        <v>124</v>
      </c>
      <c r="M139" s="56">
        <f t="shared" si="7"/>
        <v>24000</v>
      </c>
      <c r="N139" s="76" t="s">
        <v>124</v>
      </c>
      <c r="O139" s="76" t="s">
        <v>124</v>
      </c>
      <c r="P139" s="76" t="s">
        <v>124</v>
      </c>
      <c r="Q139" s="76" t="s">
        <v>124</v>
      </c>
      <c r="R139" s="76" t="s">
        <v>124</v>
      </c>
      <c r="S139" s="83"/>
      <c r="T139" s="83"/>
    </row>
    <row r="140" spans="2:20" x14ac:dyDescent="0.25">
      <c r="B140" s="82">
        <v>135</v>
      </c>
      <c r="C140" s="57" t="s">
        <v>486</v>
      </c>
      <c r="D140" s="57" t="s">
        <v>31</v>
      </c>
      <c r="E140" s="83" t="s">
        <v>426</v>
      </c>
      <c r="F140" s="83" t="s">
        <v>427</v>
      </c>
      <c r="G140" s="82">
        <v>80160</v>
      </c>
      <c r="H140" s="83" t="s">
        <v>5</v>
      </c>
      <c r="I140" s="88"/>
      <c r="J140" s="54">
        <v>480000</v>
      </c>
      <c r="K140" s="54">
        <f t="shared" si="8"/>
        <v>480000</v>
      </c>
      <c r="L140" s="58" t="s">
        <v>124</v>
      </c>
      <c r="M140" s="56">
        <f t="shared" si="7"/>
        <v>24000</v>
      </c>
      <c r="N140" s="76" t="s">
        <v>124</v>
      </c>
      <c r="O140" s="76" t="s">
        <v>124</v>
      </c>
      <c r="P140" s="76" t="s">
        <v>124</v>
      </c>
      <c r="Q140" s="76" t="s">
        <v>124</v>
      </c>
      <c r="R140" s="76" t="s">
        <v>124</v>
      </c>
      <c r="S140" s="83"/>
      <c r="T140" s="83"/>
    </row>
    <row r="141" spans="2:20" x14ac:dyDescent="0.25">
      <c r="B141" s="82">
        <v>136</v>
      </c>
      <c r="C141" s="57" t="s">
        <v>486</v>
      </c>
      <c r="D141" s="57" t="s">
        <v>31</v>
      </c>
      <c r="E141" s="83" t="s">
        <v>426</v>
      </c>
      <c r="F141" s="83" t="s">
        <v>428</v>
      </c>
      <c r="G141" s="82">
        <v>80160</v>
      </c>
      <c r="H141" s="83" t="s">
        <v>5</v>
      </c>
      <c r="I141" s="88"/>
      <c r="J141" s="54">
        <v>974000</v>
      </c>
      <c r="K141" s="54">
        <f t="shared" si="8"/>
        <v>974000</v>
      </c>
      <c r="L141" s="58" t="s">
        <v>124</v>
      </c>
      <c r="M141" s="56">
        <f t="shared" si="7"/>
        <v>48700</v>
      </c>
      <c r="N141" s="76" t="s">
        <v>124</v>
      </c>
      <c r="O141" s="76" t="s">
        <v>124</v>
      </c>
      <c r="P141" s="76" t="s">
        <v>124</v>
      </c>
      <c r="Q141" s="76" t="s">
        <v>124</v>
      </c>
      <c r="R141" s="76" t="s">
        <v>124</v>
      </c>
      <c r="S141" s="83"/>
      <c r="T141" s="83"/>
    </row>
    <row r="142" spans="2:20" x14ac:dyDescent="0.25">
      <c r="B142" s="82">
        <v>137</v>
      </c>
      <c r="C142" s="57" t="s">
        <v>486</v>
      </c>
      <c r="D142" s="57" t="s">
        <v>31</v>
      </c>
      <c r="E142" s="83" t="s">
        <v>430</v>
      </c>
      <c r="F142" s="83" t="s">
        <v>431</v>
      </c>
      <c r="G142" s="82">
        <v>82017</v>
      </c>
      <c r="H142" s="83" t="s">
        <v>101</v>
      </c>
      <c r="I142" s="88"/>
      <c r="J142" s="54">
        <v>213680</v>
      </c>
      <c r="K142" s="54">
        <f t="shared" si="8"/>
        <v>213680</v>
      </c>
      <c r="L142" s="58" t="s">
        <v>124</v>
      </c>
      <c r="M142" s="56">
        <f t="shared" si="7"/>
        <v>10684</v>
      </c>
      <c r="N142" s="76" t="s">
        <v>124</v>
      </c>
      <c r="O142" s="76" t="s">
        <v>124</v>
      </c>
      <c r="P142" s="76" t="s">
        <v>124</v>
      </c>
      <c r="Q142" s="76" t="s">
        <v>124</v>
      </c>
      <c r="R142" s="76" t="s">
        <v>124</v>
      </c>
      <c r="S142" s="83"/>
      <c r="T142" s="83"/>
    </row>
    <row r="143" spans="2:20" x14ac:dyDescent="0.25">
      <c r="B143" s="82">
        <v>138</v>
      </c>
      <c r="C143" s="57" t="s">
        <v>486</v>
      </c>
      <c r="D143" s="57" t="s">
        <v>31</v>
      </c>
      <c r="E143" s="83" t="s">
        <v>432</v>
      </c>
      <c r="F143" s="83" t="s">
        <v>433</v>
      </c>
      <c r="G143" s="82">
        <v>82143</v>
      </c>
      <c r="H143" s="83" t="s">
        <v>101</v>
      </c>
      <c r="I143" s="88"/>
      <c r="J143" s="54">
        <v>238040</v>
      </c>
      <c r="K143" s="54">
        <f t="shared" si="8"/>
        <v>238040</v>
      </c>
      <c r="L143" s="58" t="s">
        <v>124</v>
      </c>
      <c r="M143" s="56">
        <f t="shared" si="7"/>
        <v>11902</v>
      </c>
      <c r="N143" s="76" t="s">
        <v>124</v>
      </c>
      <c r="O143" s="76" t="s">
        <v>124</v>
      </c>
      <c r="P143" s="76" t="s">
        <v>124</v>
      </c>
      <c r="Q143" s="76" t="s">
        <v>124</v>
      </c>
      <c r="R143" s="76" t="s">
        <v>124</v>
      </c>
      <c r="S143" s="83"/>
      <c r="T143" s="83"/>
    </row>
    <row r="144" spans="2:20" x14ac:dyDescent="0.25">
      <c r="B144" s="82">
        <v>139</v>
      </c>
      <c r="C144" s="57" t="s">
        <v>486</v>
      </c>
      <c r="D144" s="57" t="s">
        <v>31</v>
      </c>
      <c r="E144" s="83" t="s">
        <v>330</v>
      </c>
      <c r="F144" s="83" t="s">
        <v>434</v>
      </c>
      <c r="G144" s="82">
        <v>80177</v>
      </c>
      <c r="H144" s="83" t="s">
        <v>5</v>
      </c>
      <c r="I144" s="88"/>
      <c r="J144" s="54">
        <v>230000</v>
      </c>
      <c r="K144" s="54">
        <f t="shared" si="8"/>
        <v>230000</v>
      </c>
      <c r="L144" s="58" t="s">
        <v>124</v>
      </c>
      <c r="M144" s="56">
        <f t="shared" si="7"/>
        <v>11500</v>
      </c>
      <c r="N144" s="76" t="s">
        <v>124</v>
      </c>
      <c r="O144" s="76" t="s">
        <v>124</v>
      </c>
      <c r="P144" s="76" t="s">
        <v>124</v>
      </c>
      <c r="Q144" s="76" t="s">
        <v>124</v>
      </c>
      <c r="R144" s="76" t="s">
        <v>124</v>
      </c>
      <c r="S144" s="83"/>
      <c r="T144" s="83"/>
    </row>
    <row r="145" spans="2:20" x14ac:dyDescent="0.25">
      <c r="B145" s="82">
        <v>140</v>
      </c>
      <c r="C145" s="57" t="s">
        <v>486</v>
      </c>
      <c r="D145" s="57" t="s">
        <v>31</v>
      </c>
      <c r="E145" s="83" t="s">
        <v>435</v>
      </c>
      <c r="F145" s="83" t="s">
        <v>436</v>
      </c>
      <c r="G145" s="82">
        <v>81040</v>
      </c>
      <c r="H145" s="83" t="s">
        <v>4</v>
      </c>
      <c r="I145" s="88"/>
      <c r="J145" s="54">
        <v>260000</v>
      </c>
      <c r="K145" s="54">
        <f t="shared" si="8"/>
        <v>260000</v>
      </c>
      <c r="L145" s="58" t="s">
        <v>124</v>
      </c>
      <c r="M145" s="56">
        <f t="shared" si="7"/>
        <v>13000</v>
      </c>
      <c r="N145" s="76" t="s">
        <v>124</v>
      </c>
      <c r="O145" s="76" t="s">
        <v>124</v>
      </c>
      <c r="P145" s="76" t="s">
        <v>124</v>
      </c>
      <c r="Q145" s="76" t="s">
        <v>124</v>
      </c>
      <c r="R145" s="76" t="s">
        <v>124</v>
      </c>
      <c r="S145" s="83"/>
      <c r="T145" s="83"/>
    </row>
    <row r="146" spans="2:20" x14ac:dyDescent="0.25">
      <c r="B146" s="82">
        <v>141</v>
      </c>
      <c r="C146" s="57" t="s">
        <v>486</v>
      </c>
      <c r="D146" s="57" t="s">
        <v>31</v>
      </c>
      <c r="E146" s="83" t="s">
        <v>440</v>
      </c>
      <c r="F146" s="83" t="s">
        <v>441</v>
      </c>
      <c r="G146" s="82">
        <v>81280</v>
      </c>
      <c r="H146" s="83" t="s">
        <v>34</v>
      </c>
      <c r="I146" s="88"/>
      <c r="J146" s="54">
        <v>735260</v>
      </c>
      <c r="K146" s="54">
        <f t="shared" si="8"/>
        <v>735260</v>
      </c>
      <c r="L146" s="58" t="s">
        <v>124</v>
      </c>
      <c r="M146" s="56">
        <f t="shared" si="7"/>
        <v>36763</v>
      </c>
      <c r="N146" s="76" t="s">
        <v>124</v>
      </c>
      <c r="O146" s="76" t="s">
        <v>124</v>
      </c>
      <c r="P146" s="76" t="s">
        <v>124</v>
      </c>
      <c r="Q146" s="76" t="s">
        <v>124</v>
      </c>
      <c r="R146" s="76" t="s">
        <v>124</v>
      </c>
      <c r="S146" s="83"/>
      <c r="T146" s="83"/>
    </row>
    <row r="147" spans="2:20" x14ac:dyDescent="0.25">
      <c r="B147" s="82">
        <v>142</v>
      </c>
      <c r="C147" s="57" t="s">
        <v>486</v>
      </c>
      <c r="D147" s="57" t="s">
        <v>31</v>
      </c>
      <c r="E147" s="83" t="s">
        <v>417</v>
      </c>
      <c r="F147" s="83" t="s">
        <v>442</v>
      </c>
      <c r="G147" s="82">
        <v>80000</v>
      </c>
      <c r="H147" s="83" t="s">
        <v>5</v>
      </c>
      <c r="I147" s="88"/>
      <c r="J147" s="54">
        <v>2123580</v>
      </c>
      <c r="K147" s="54">
        <f t="shared" si="8"/>
        <v>2123580</v>
      </c>
      <c r="L147" s="58" t="s">
        <v>124</v>
      </c>
      <c r="M147" s="56">
        <f t="shared" si="7"/>
        <v>106179</v>
      </c>
      <c r="N147" s="76" t="s">
        <v>124</v>
      </c>
      <c r="O147" s="76" t="s">
        <v>124</v>
      </c>
      <c r="P147" s="76" t="s">
        <v>124</v>
      </c>
      <c r="Q147" s="76" t="s">
        <v>124</v>
      </c>
      <c r="R147" s="76" t="s">
        <v>124</v>
      </c>
      <c r="S147" s="83"/>
      <c r="T147" s="83"/>
    </row>
    <row r="148" spans="2:20" x14ac:dyDescent="0.25">
      <c r="B148" s="82">
        <v>143</v>
      </c>
      <c r="C148" s="57" t="s">
        <v>486</v>
      </c>
      <c r="D148" s="57" t="s">
        <v>31</v>
      </c>
      <c r="E148" s="83" t="s">
        <v>509</v>
      </c>
      <c r="F148" s="83" t="s">
        <v>134</v>
      </c>
      <c r="G148" s="82">
        <v>81330</v>
      </c>
      <c r="H148" s="83" t="s">
        <v>34</v>
      </c>
      <c r="I148" s="88"/>
      <c r="J148" s="54">
        <v>179420</v>
      </c>
      <c r="K148" s="54">
        <f t="shared" si="8"/>
        <v>179420</v>
      </c>
      <c r="L148" s="58" t="s">
        <v>124</v>
      </c>
      <c r="M148" s="56">
        <f t="shared" si="7"/>
        <v>8971</v>
      </c>
      <c r="N148" s="76" t="s">
        <v>124</v>
      </c>
      <c r="O148" s="76" t="s">
        <v>124</v>
      </c>
      <c r="P148" s="76" t="s">
        <v>124</v>
      </c>
      <c r="Q148" s="76" t="s">
        <v>124</v>
      </c>
      <c r="R148" s="76" t="s">
        <v>124</v>
      </c>
      <c r="S148" s="83"/>
      <c r="T148" s="83"/>
    </row>
    <row r="149" spans="2:20" x14ac:dyDescent="0.25">
      <c r="B149" s="82">
        <v>144</v>
      </c>
      <c r="C149" s="57" t="s">
        <v>486</v>
      </c>
      <c r="D149" s="57" t="s">
        <v>31</v>
      </c>
      <c r="E149" s="83" t="s">
        <v>510</v>
      </c>
      <c r="F149" s="83" t="s">
        <v>445</v>
      </c>
      <c r="G149" s="82">
        <v>82013</v>
      </c>
      <c r="H149" s="83" t="s">
        <v>101</v>
      </c>
      <c r="I149" s="88"/>
      <c r="J149" s="54">
        <v>379600</v>
      </c>
      <c r="K149" s="54">
        <f t="shared" si="8"/>
        <v>379600</v>
      </c>
      <c r="L149" s="58" t="s">
        <v>124</v>
      </c>
      <c r="M149" s="56">
        <f t="shared" si="7"/>
        <v>18980</v>
      </c>
      <c r="N149" s="76" t="s">
        <v>124</v>
      </c>
      <c r="O149" s="76" t="s">
        <v>124</v>
      </c>
      <c r="P149" s="76" t="s">
        <v>124</v>
      </c>
      <c r="Q149" s="76" t="s">
        <v>124</v>
      </c>
      <c r="R149" s="76" t="s">
        <v>124</v>
      </c>
      <c r="S149" s="83"/>
      <c r="T149" s="83"/>
    </row>
    <row r="150" spans="2:20" x14ac:dyDescent="0.25">
      <c r="B150" s="82">
        <v>145</v>
      </c>
      <c r="C150" s="57" t="s">
        <v>486</v>
      </c>
      <c r="D150" s="57" t="s">
        <v>31</v>
      </c>
      <c r="E150" s="83" t="s">
        <v>511</v>
      </c>
      <c r="F150" s="83" t="s">
        <v>512</v>
      </c>
      <c r="G150" s="82">
        <v>80400</v>
      </c>
      <c r="H150" s="83" t="s">
        <v>5</v>
      </c>
      <c r="I150" s="88"/>
      <c r="J150" s="54">
        <v>3944000</v>
      </c>
      <c r="K150" s="54">
        <f t="shared" si="8"/>
        <v>3944000</v>
      </c>
      <c r="L150" s="58" t="s">
        <v>124</v>
      </c>
      <c r="M150" s="56">
        <f t="shared" si="7"/>
        <v>197200</v>
      </c>
      <c r="N150" s="76" t="s">
        <v>124</v>
      </c>
      <c r="O150" s="76" t="s">
        <v>124</v>
      </c>
      <c r="P150" s="76" t="s">
        <v>124</v>
      </c>
      <c r="Q150" s="76" t="s">
        <v>124</v>
      </c>
      <c r="R150" s="76" t="s">
        <v>124</v>
      </c>
      <c r="S150" s="83"/>
      <c r="T150" s="83"/>
    </row>
    <row r="151" spans="2:20" x14ac:dyDescent="0.25">
      <c r="B151" s="82">
        <v>146</v>
      </c>
      <c r="C151" s="57" t="s">
        <v>486</v>
      </c>
      <c r="D151" s="57" t="s">
        <v>31</v>
      </c>
      <c r="E151" s="83" t="s">
        <v>330</v>
      </c>
      <c r="F151" s="83" t="s">
        <v>449</v>
      </c>
      <c r="G151" s="82">
        <v>81200</v>
      </c>
      <c r="H151" s="83" t="s">
        <v>34</v>
      </c>
      <c r="I151" s="88"/>
      <c r="J151" s="54">
        <v>2632000</v>
      </c>
      <c r="K151" s="54">
        <f t="shared" si="8"/>
        <v>2632000</v>
      </c>
      <c r="L151" s="58" t="s">
        <v>124</v>
      </c>
      <c r="M151" s="56">
        <f t="shared" si="7"/>
        <v>131600</v>
      </c>
      <c r="N151" s="76" t="s">
        <v>124</v>
      </c>
      <c r="O151" s="76" t="s">
        <v>124</v>
      </c>
      <c r="P151" s="76" t="s">
        <v>124</v>
      </c>
      <c r="Q151" s="76" t="s">
        <v>124</v>
      </c>
      <c r="R151" s="76" t="s">
        <v>124</v>
      </c>
      <c r="S151" s="83"/>
      <c r="T151" s="83"/>
    </row>
    <row r="152" spans="2:20" x14ac:dyDescent="0.25">
      <c r="B152" s="82">
        <v>147</v>
      </c>
      <c r="C152" s="57" t="s">
        <v>486</v>
      </c>
      <c r="D152" s="57" t="s">
        <v>31</v>
      </c>
      <c r="E152" s="83" t="s">
        <v>135</v>
      </c>
      <c r="F152" s="83" t="s">
        <v>450</v>
      </c>
      <c r="G152" s="82">
        <v>80170</v>
      </c>
      <c r="H152" s="83" t="s">
        <v>5</v>
      </c>
      <c r="I152" s="88"/>
      <c r="J152" s="54">
        <v>2318000</v>
      </c>
      <c r="K152" s="54">
        <f t="shared" si="8"/>
        <v>2318000</v>
      </c>
      <c r="L152" s="58" t="s">
        <v>124</v>
      </c>
      <c r="M152" s="56">
        <f t="shared" si="7"/>
        <v>115900</v>
      </c>
      <c r="N152" s="76" t="s">
        <v>124</v>
      </c>
      <c r="O152" s="76" t="s">
        <v>124</v>
      </c>
      <c r="P152" s="76" t="s">
        <v>124</v>
      </c>
      <c r="Q152" s="76" t="s">
        <v>124</v>
      </c>
      <c r="R152" s="76" t="s">
        <v>124</v>
      </c>
      <c r="S152" s="83"/>
      <c r="T152" s="83"/>
    </row>
    <row r="153" spans="2:20" x14ac:dyDescent="0.25">
      <c r="B153" s="82">
        <v>148</v>
      </c>
      <c r="C153" s="57" t="s">
        <v>486</v>
      </c>
      <c r="D153" s="57" t="s">
        <v>31</v>
      </c>
      <c r="E153" s="83" t="s">
        <v>451</v>
      </c>
      <c r="F153" s="83" t="s">
        <v>136</v>
      </c>
      <c r="G153" s="82">
        <v>80080</v>
      </c>
      <c r="H153" s="83" t="s">
        <v>5</v>
      </c>
      <c r="I153" s="88"/>
      <c r="J153" s="54">
        <v>532640</v>
      </c>
      <c r="K153" s="54">
        <f t="shared" si="8"/>
        <v>532640</v>
      </c>
      <c r="L153" s="58" t="s">
        <v>124</v>
      </c>
      <c r="M153" s="56">
        <f t="shared" si="7"/>
        <v>26632</v>
      </c>
      <c r="N153" s="76" t="s">
        <v>124</v>
      </c>
      <c r="O153" s="76" t="s">
        <v>124</v>
      </c>
      <c r="P153" s="76" t="s">
        <v>124</v>
      </c>
      <c r="Q153" s="76" t="s">
        <v>124</v>
      </c>
      <c r="R153" s="76" t="s">
        <v>124</v>
      </c>
      <c r="S153" s="83"/>
      <c r="T153" s="83"/>
    </row>
    <row r="154" spans="2:20" x14ac:dyDescent="0.25">
      <c r="B154" s="82">
        <v>149</v>
      </c>
      <c r="C154" s="57" t="s">
        <v>486</v>
      </c>
      <c r="D154" s="57" t="s">
        <v>31</v>
      </c>
      <c r="E154" s="83" t="s">
        <v>452</v>
      </c>
      <c r="F154" s="83" t="s">
        <v>513</v>
      </c>
      <c r="G154" s="82">
        <v>81280</v>
      </c>
      <c r="H154" s="83" t="s">
        <v>34</v>
      </c>
      <c r="I154" s="88"/>
      <c r="J154" s="54">
        <v>480000</v>
      </c>
      <c r="K154" s="54">
        <f t="shared" si="8"/>
        <v>480000</v>
      </c>
      <c r="L154" s="58" t="s">
        <v>124</v>
      </c>
      <c r="M154" s="56">
        <f t="shared" si="7"/>
        <v>24000</v>
      </c>
      <c r="N154" s="76" t="s">
        <v>124</v>
      </c>
      <c r="O154" s="76" t="s">
        <v>124</v>
      </c>
      <c r="P154" s="76" t="s">
        <v>124</v>
      </c>
      <c r="Q154" s="76" t="s">
        <v>124</v>
      </c>
      <c r="R154" s="76" t="s">
        <v>124</v>
      </c>
      <c r="S154" s="83"/>
      <c r="T154" s="83"/>
    </row>
    <row r="155" spans="2:20" x14ac:dyDescent="0.25">
      <c r="B155" s="82">
        <v>150</v>
      </c>
      <c r="C155" s="57" t="s">
        <v>486</v>
      </c>
      <c r="D155" s="57" t="s">
        <v>31</v>
      </c>
      <c r="E155" s="83" t="s">
        <v>514</v>
      </c>
      <c r="F155" s="83" t="s">
        <v>515</v>
      </c>
      <c r="G155" s="82">
        <v>81240</v>
      </c>
      <c r="H155" s="83" t="s">
        <v>34</v>
      </c>
      <c r="I155" s="88"/>
      <c r="J155" s="54">
        <v>343000</v>
      </c>
      <c r="K155" s="54">
        <f t="shared" si="8"/>
        <v>343000</v>
      </c>
      <c r="L155" s="58" t="s">
        <v>124</v>
      </c>
      <c r="M155" s="56">
        <f t="shared" si="7"/>
        <v>17150</v>
      </c>
      <c r="N155" s="76" t="s">
        <v>124</v>
      </c>
      <c r="O155" s="76" t="s">
        <v>124</v>
      </c>
      <c r="P155" s="76" t="s">
        <v>124</v>
      </c>
      <c r="Q155" s="76" t="s">
        <v>124</v>
      </c>
      <c r="R155" s="76" t="s">
        <v>124</v>
      </c>
      <c r="S155" s="83"/>
      <c r="T155" s="83"/>
    </row>
    <row r="156" spans="2:20" x14ac:dyDescent="0.25">
      <c r="B156" s="82">
        <v>151</v>
      </c>
      <c r="C156" s="57" t="s">
        <v>486</v>
      </c>
      <c r="D156" s="57" t="s">
        <v>31</v>
      </c>
      <c r="E156" s="83" t="s">
        <v>516</v>
      </c>
      <c r="F156" s="83" t="s">
        <v>459</v>
      </c>
      <c r="G156" s="82">
        <v>82138</v>
      </c>
      <c r="H156" s="83" t="s">
        <v>101</v>
      </c>
      <c r="I156" s="88"/>
      <c r="J156" s="54">
        <v>120160</v>
      </c>
      <c r="K156" s="54">
        <f t="shared" si="8"/>
        <v>120160</v>
      </c>
      <c r="L156" s="58" t="s">
        <v>124</v>
      </c>
      <c r="M156" s="56">
        <f t="shared" si="7"/>
        <v>6008</v>
      </c>
      <c r="N156" s="76" t="s">
        <v>124</v>
      </c>
      <c r="O156" s="76" t="s">
        <v>124</v>
      </c>
      <c r="P156" s="76" t="s">
        <v>124</v>
      </c>
      <c r="Q156" s="76" t="s">
        <v>124</v>
      </c>
      <c r="R156" s="76" t="s">
        <v>124</v>
      </c>
      <c r="S156" s="83"/>
      <c r="T156" s="83"/>
    </row>
    <row r="157" spans="2:20" x14ac:dyDescent="0.25">
      <c r="B157" s="82">
        <v>152</v>
      </c>
      <c r="C157" s="57" t="s">
        <v>486</v>
      </c>
      <c r="D157" s="57" t="s">
        <v>31</v>
      </c>
      <c r="E157" s="83" t="s">
        <v>460</v>
      </c>
      <c r="F157" s="83" t="s">
        <v>461</v>
      </c>
      <c r="G157" s="82">
        <v>81240</v>
      </c>
      <c r="H157" s="83" t="s">
        <v>34</v>
      </c>
      <c r="I157" s="88"/>
      <c r="J157" s="54">
        <v>1642000</v>
      </c>
      <c r="K157" s="54">
        <f t="shared" si="8"/>
        <v>1642000</v>
      </c>
      <c r="L157" s="58" t="s">
        <v>124</v>
      </c>
      <c r="M157" s="56">
        <f t="shared" si="7"/>
        <v>82100</v>
      </c>
      <c r="N157" s="76" t="s">
        <v>124</v>
      </c>
      <c r="O157" s="76" t="s">
        <v>124</v>
      </c>
      <c r="P157" s="76" t="s">
        <v>124</v>
      </c>
      <c r="Q157" s="76" t="s">
        <v>124</v>
      </c>
      <c r="R157" s="76" t="s">
        <v>124</v>
      </c>
      <c r="S157" s="83"/>
      <c r="T157" s="83"/>
    </row>
    <row r="158" spans="2:20" x14ac:dyDescent="0.25">
      <c r="B158" s="82">
        <v>153</v>
      </c>
      <c r="C158" s="57" t="s">
        <v>486</v>
      </c>
      <c r="D158" s="57" t="s">
        <v>31</v>
      </c>
      <c r="E158" s="83" t="s">
        <v>462</v>
      </c>
      <c r="F158" s="83" t="s">
        <v>463</v>
      </c>
      <c r="G158" s="82">
        <v>80199</v>
      </c>
      <c r="H158" s="83" t="s">
        <v>5</v>
      </c>
      <c r="I158" s="88"/>
      <c r="J158" s="54">
        <v>109080</v>
      </c>
      <c r="K158" s="54">
        <f t="shared" si="8"/>
        <v>109080</v>
      </c>
      <c r="L158" s="58" t="s">
        <v>124</v>
      </c>
      <c r="M158" s="56">
        <f t="shared" si="7"/>
        <v>5454</v>
      </c>
      <c r="N158" s="76" t="s">
        <v>124</v>
      </c>
      <c r="O158" s="76" t="s">
        <v>124</v>
      </c>
      <c r="P158" s="76" t="s">
        <v>124</v>
      </c>
      <c r="Q158" s="76" t="s">
        <v>124</v>
      </c>
      <c r="R158" s="76" t="s">
        <v>124</v>
      </c>
      <c r="S158" s="83"/>
      <c r="T158" s="83"/>
    </row>
    <row r="159" spans="2:20" x14ac:dyDescent="0.25">
      <c r="B159" s="82">
        <v>154</v>
      </c>
      <c r="C159" s="57" t="s">
        <v>486</v>
      </c>
      <c r="D159" s="57" t="s">
        <v>31</v>
      </c>
      <c r="E159" s="83" t="s">
        <v>464</v>
      </c>
      <c r="F159" s="83" t="s">
        <v>463</v>
      </c>
      <c r="G159" s="82">
        <v>80199</v>
      </c>
      <c r="H159" s="83" t="s">
        <v>5</v>
      </c>
      <c r="I159" s="88"/>
      <c r="J159" s="54">
        <v>148000</v>
      </c>
      <c r="K159" s="54">
        <f t="shared" si="8"/>
        <v>148000</v>
      </c>
      <c r="L159" s="58" t="s">
        <v>124</v>
      </c>
      <c r="M159" s="56">
        <f t="shared" si="7"/>
        <v>7400</v>
      </c>
      <c r="N159" s="76" t="s">
        <v>124</v>
      </c>
      <c r="O159" s="76" t="s">
        <v>124</v>
      </c>
      <c r="P159" s="76" t="s">
        <v>124</v>
      </c>
      <c r="Q159" s="76" t="s">
        <v>124</v>
      </c>
      <c r="R159" s="76" t="s">
        <v>124</v>
      </c>
      <c r="S159" s="83"/>
      <c r="T159" s="83"/>
    </row>
    <row r="160" spans="2:20" x14ac:dyDescent="0.25">
      <c r="B160" s="82">
        <v>155</v>
      </c>
      <c r="C160" s="57" t="s">
        <v>486</v>
      </c>
      <c r="D160" s="57" t="s">
        <v>31</v>
      </c>
      <c r="E160" s="83" t="s">
        <v>517</v>
      </c>
      <c r="F160" s="83" t="s">
        <v>463</v>
      </c>
      <c r="G160" s="82">
        <v>80199</v>
      </c>
      <c r="H160" s="83" t="s">
        <v>5</v>
      </c>
      <c r="I160" s="88"/>
      <c r="J160" s="54">
        <v>168000</v>
      </c>
      <c r="K160" s="54">
        <f t="shared" si="8"/>
        <v>168000</v>
      </c>
      <c r="L160" s="58" t="s">
        <v>124</v>
      </c>
      <c r="M160" s="56">
        <f t="shared" si="7"/>
        <v>8400</v>
      </c>
      <c r="N160" s="76" t="s">
        <v>124</v>
      </c>
      <c r="O160" s="76" t="s">
        <v>124</v>
      </c>
      <c r="P160" s="76" t="s">
        <v>124</v>
      </c>
      <c r="Q160" s="76" t="s">
        <v>124</v>
      </c>
      <c r="R160" s="76" t="s">
        <v>124</v>
      </c>
      <c r="S160" s="83"/>
      <c r="T160" s="83"/>
    </row>
    <row r="161" spans="2:20" x14ac:dyDescent="0.25">
      <c r="B161" s="82">
        <v>156</v>
      </c>
      <c r="C161" s="57" t="s">
        <v>486</v>
      </c>
      <c r="D161" s="57" t="s">
        <v>31</v>
      </c>
      <c r="E161" s="83" t="s">
        <v>466</v>
      </c>
      <c r="F161" s="83" t="s">
        <v>463</v>
      </c>
      <c r="G161" s="82">
        <v>80199</v>
      </c>
      <c r="H161" s="83" t="s">
        <v>5</v>
      </c>
      <c r="I161" s="88"/>
      <c r="J161" s="54">
        <v>159600</v>
      </c>
      <c r="K161" s="54">
        <f t="shared" si="8"/>
        <v>159600</v>
      </c>
      <c r="L161" s="58" t="s">
        <v>124</v>
      </c>
      <c r="M161" s="56">
        <f t="shared" si="7"/>
        <v>7980</v>
      </c>
      <c r="N161" s="76" t="s">
        <v>124</v>
      </c>
      <c r="O161" s="76" t="s">
        <v>124</v>
      </c>
      <c r="P161" s="76" t="s">
        <v>124</v>
      </c>
      <c r="Q161" s="76" t="s">
        <v>124</v>
      </c>
      <c r="R161" s="76" t="s">
        <v>124</v>
      </c>
      <c r="S161" s="83"/>
      <c r="T161" s="83"/>
    </row>
    <row r="162" spans="2:20" x14ac:dyDescent="0.25">
      <c r="B162" s="82">
        <v>157</v>
      </c>
      <c r="C162" s="57" t="s">
        <v>486</v>
      </c>
      <c r="D162" s="57" t="s">
        <v>31</v>
      </c>
      <c r="E162" s="83" t="s">
        <v>467</v>
      </c>
      <c r="F162" s="83" t="s">
        <v>463</v>
      </c>
      <c r="G162" s="82">
        <v>80199</v>
      </c>
      <c r="H162" s="83" t="s">
        <v>5</v>
      </c>
      <c r="I162" s="88"/>
      <c r="J162" s="54">
        <v>3256640</v>
      </c>
      <c r="K162" s="54">
        <f t="shared" si="8"/>
        <v>3256640</v>
      </c>
      <c r="L162" s="58" t="s">
        <v>124</v>
      </c>
      <c r="M162" s="56">
        <f t="shared" si="7"/>
        <v>162832</v>
      </c>
      <c r="N162" s="76" t="s">
        <v>124</v>
      </c>
      <c r="O162" s="76" t="s">
        <v>124</v>
      </c>
      <c r="P162" s="76" t="s">
        <v>124</v>
      </c>
      <c r="Q162" s="76" t="s">
        <v>124</v>
      </c>
      <c r="R162" s="76" t="s">
        <v>124</v>
      </c>
      <c r="S162" s="83"/>
      <c r="T162" s="83"/>
    </row>
    <row r="163" spans="2:20" x14ac:dyDescent="0.25">
      <c r="B163" s="82">
        <v>158</v>
      </c>
      <c r="C163" s="57" t="s">
        <v>486</v>
      </c>
      <c r="D163" s="57" t="s">
        <v>31</v>
      </c>
      <c r="E163" s="83" t="s">
        <v>468</v>
      </c>
      <c r="F163" s="83" t="s">
        <v>469</v>
      </c>
      <c r="G163" s="82">
        <v>80010</v>
      </c>
      <c r="H163" s="83" t="s">
        <v>5</v>
      </c>
      <c r="I163" s="88"/>
      <c r="J163" s="54">
        <v>79180</v>
      </c>
      <c r="K163" s="54">
        <f t="shared" si="8"/>
        <v>79180</v>
      </c>
      <c r="L163" s="58" t="s">
        <v>124</v>
      </c>
      <c r="M163" s="56">
        <f t="shared" si="7"/>
        <v>3959</v>
      </c>
      <c r="N163" s="76" t="s">
        <v>124</v>
      </c>
      <c r="O163" s="76" t="s">
        <v>124</v>
      </c>
      <c r="P163" s="76" t="s">
        <v>124</v>
      </c>
      <c r="Q163" s="76" t="s">
        <v>124</v>
      </c>
      <c r="R163" s="76" t="s">
        <v>124</v>
      </c>
      <c r="S163" s="83"/>
      <c r="T163" s="83"/>
    </row>
    <row r="164" spans="2:20" ht="13.5" x14ac:dyDescent="0.25">
      <c r="B164" s="469">
        <v>120</v>
      </c>
      <c r="C164" s="137"/>
      <c r="D164" s="137"/>
      <c r="E164" s="138"/>
      <c r="F164" s="139" t="s">
        <v>599</v>
      </c>
      <c r="G164" s="140"/>
      <c r="H164" s="141"/>
      <c r="I164" s="466">
        <f t="shared" ref="I164:T164" si="9">SUM(I44:I163)</f>
        <v>0</v>
      </c>
      <c r="J164" s="466">
        <f t="shared" si="9"/>
        <v>112621740</v>
      </c>
      <c r="K164" s="466">
        <f t="shared" si="9"/>
        <v>112621740</v>
      </c>
      <c r="L164" s="466">
        <f t="shared" si="9"/>
        <v>0</v>
      </c>
      <c r="M164" s="466">
        <f t="shared" si="9"/>
        <v>5631087</v>
      </c>
      <c r="N164" s="466">
        <f t="shared" si="9"/>
        <v>0</v>
      </c>
      <c r="O164" s="466">
        <f t="shared" si="9"/>
        <v>0</v>
      </c>
      <c r="P164" s="466">
        <f t="shared" si="9"/>
        <v>0</v>
      </c>
      <c r="Q164" s="466">
        <f t="shared" si="9"/>
        <v>0</v>
      </c>
      <c r="R164" s="466">
        <f t="shared" si="9"/>
        <v>0</v>
      </c>
      <c r="S164" s="466">
        <f t="shared" si="9"/>
        <v>0</v>
      </c>
      <c r="T164" s="466">
        <f t="shared" si="9"/>
        <v>0</v>
      </c>
    </row>
    <row r="165" spans="2:20" x14ac:dyDescent="0.25">
      <c r="B165" s="117"/>
      <c r="C165" s="118"/>
      <c r="D165" s="118"/>
      <c r="E165" s="119"/>
      <c r="F165" s="120"/>
      <c r="G165" s="121"/>
      <c r="H165" s="120"/>
      <c r="I165" s="91"/>
      <c r="J165" s="90"/>
      <c r="K165" s="90"/>
      <c r="L165" s="91"/>
      <c r="M165" s="91"/>
      <c r="N165" s="91"/>
      <c r="O165" s="91"/>
      <c r="P165" s="91"/>
      <c r="Q165" s="91"/>
      <c r="R165" s="91"/>
      <c r="S165" s="91"/>
      <c r="T165" s="91"/>
    </row>
    <row r="166" spans="2:20" s="3" customFormat="1" ht="18" x14ac:dyDescent="0.25">
      <c r="B166" s="112"/>
      <c r="C166" s="161" t="s">
        <v>590</v>
      </c>
      <c r="D166" s="113"/>
      <c r="E166" s="160" t="s">
        <v>84</v>
      </c>
      <c r="F166" s="114"/>
      <c r="G166" s="112"/>
      <c r="H166" s="114"/>
      <c r="I166" s="89"/>
      <c r="J166" s="115"/>
      <c r="K166" s="115"/>
      <c r="L166" s="116"/>
      <c r="M166" s="116"/>
      <c r="N166" s="116"/>
      <c r="O166" s="116"/>
      <c r="P166" s="116"/>
      <c r="Q166" s="116"/>
      <c r="R166" s="116"/>
      <c r="S166" s="116"/>
      <c r="T166" s="116"/>
    </row>
    <row r="167" spans="2:20" x14ac:dyDescent="0.25">
      <c r="B167" s="50">
        <v>1</v>
      </c>
      <c r="C167" s="51" t="s">
        <v>191</v>
      </c>
      <c r="D167" s="51" t="s">
        <v>28</v>
      </c>
      <c r="E167" s="52" t="s">
        <v>89</v>
      </c>
      <c r="F167" s="51" t="s">
        <v>111</v>
      </c>
      <c r="G167" s="50">
        <v>80000</v>
      </c>
      <c r="H167" s="51" t="s">
        <v>40</v>
      </c>
      <c r="I167" s="53">
        <v>17786488.155255701</v>
      </c>
      <c r="J167" s="54">
        <f>I167*0.235649</f>
        <v>4191368.1472978508</v>
      </c>
      <c r="K167" s="54">
        <f t="shared" ref="K167:K173" si="10">+I167+J167</f>
        <v>21977856.302553553</v>
      </c>
      <c r="L167" s="79" t="s">
        <v>124</v>
      </c>
      <c r="M167" s="85">
        <f t="shared" ref="M167:M172" si="11">(I167+J167)*5%</f>
        <v>1098892.8151276777</v>
      </c>
      <c r="N167" s="80" t="s">
        <v>124</v>
      </c>
      <c r="O167" s="80" t="s">
        <v>124</v>
      </c>
      <c r="P167" s="80" t="s">
        <v>124</v>
      </c>
      <c r="Q167" s="80" t="s">
        <v>124</v>
      </c>
      <c r="R167" s="80" t="s">
        <v>124</v>
      </c>
      <c r="S167" s="84">
        <v>2892800.22</v>
      </c>
      <c r="T167" s="83"/>
    </row>
    <row r="168" spans="2:20" x14ac:dyDescent="0.25">
      <c r="B168" s="50">
        <v>2</v>
      </c>
      <c r="C168" s="51" t="s">
        <v>191</v>
      </c>
      <c r="D168" s="51" t="s">
        <v>28</v>
      </c>
      <c r="E168" s="52" t="s">
        <v>97</v>
      </c>
      <c r="F168" s="51" t="s">
        <v>113</v>
      </c>
      <c r="G168" s="50">
        <v>80100</v>
      </c>
      <c r="H168" s="51" t="s">
        <v>40</v>
      </c>
      <c r="I168" s="53">
        <v>26061106.999999996</v>
      </c>
      <c r="J168" s="54">
        <v>70481579.810000002</v>
      </c>
      <c r="K168" s="54">
        <f t="shared" si="10"/>
        <v>96542686.810000002</v>
      </c>
      <c r="L168" s="79" t="s">
        <v>124</v>
      </c>
      <c r="M168" s="85">
        <f t="shared" si="11"/>
        <v>4827134.3404999999</v>
      </c>
      <c r="N168" s="80" t="s">
        <v>124</v>
      </c>
      <c r="O168" s="80" t="s">
        <v>124</v>
      </c>
      <c r="P168" s="80" t="s">
        <v>124</v>
      </c>
      <c r="Q168" s="80" t="s">
        <v>124</v>
      </c>
      <c r="R168" s="80" t="s">
        <v>124</v>
      </c>
      <c r="S168" s="84">
        <v>7763197.6299999999</v>
      </c>
      <c r="T168" s="83"/>
    </row>
    <row r="169" spans="2:20" x14ac:dyDescent="0.25">
      <c r="B169" s="50">
        <v>3</v>
      </c>
      <c r="C169" s="51" t="s">
        <v>191</v>
      </c>
      <c r="D169" s="51" t="s">
        <v>28</v>
      </c>
      <c r="E169" s="68" t="s">
        <v>3</v>
      </c>
      <c r="F169" s="51" t="s">
        <v>58</v>
      </c>
      <c r="G169" s="50">
        <v>81240</v>
      </c>
      <c r="H169" s="51" t="s">
        <v>2</v>
      </c>
      <c r="I169" s="53">
        <v>3982620.2936207596</v>
      </c>
      <c r="J169" s="54">
        <v>1995438.93</v>
      </c>
      <c r="K169" s="54">
        <f t="shared" si="10"/>
        <v>5978059.2236207593</v>
      </c>
      <c r="L169" s="79" t="s">
        <v>124</v>
      </c>
      <c r="M169" s="85">
        <f t="shared" si="11"/>
        <v>298902.961181038</v>
      </c>
      <c r="N169" s="80" t="s">
        <v>124</v>
      </c>
      <c r="O169" s="80" t="s">
        <v>124</v>
      </c>
      <c r="P169" s="80" t="s">
        <v>124</v>
      </c>
      <c r="Q169" s="80" t="s">
        <v>124</v>
      </c>
      <c r="R169" s="80" t="s">
        <v>124</v>
      </c>
      <c r="S169" s="92">
        <v>555733.49</v>
      </c>
      <c r="T169" s="83"/>
    </row>
    <row r="170" spans="2:20" x14ac:dyDescent="0.25">
      <c r="B170" s="50">
        <v>4</v>
      </c>
      <c r="C170" s="51" t="s">
        <v>191</v>
      </c>
      <c r="D170" s="51" t="s">
        <v>28</v>
      </c>
      <c r="E170" s="68" t="s">
        <v>3</v>
      </c>
      <c r="F170" s="51" t="s">
        <v>140</v>
      </c>
      <c r="G170" s="50">
        <v>81240</v>
      </c>
      <c r="H170" s="51" t="s">
        <v>2</v>
      </c>
      <c r="I170" s="53">
        <v>2353117.9994600005</v>
      </c>
      <c r="J170" s="54">
        <f>I170*0.235649</f>
        <v>554509.90345474961</v>
      </c>
      <c r="K170" s="54">
        <f t="shared" si="10"/>
        <v>2907627.9029147504</v>
      </c>
      <c r="L170" s="79" t="s">
        <v>124</v>
      </c>
      <c r="M170" s="85">
        <f t="shared" si="11"/>
        <v>145381.39514573754</v>
      </c>
      <c r="N170" s="80" t="s">
        <v>124</v>
      </c>
      <c r="O170" s="80" t="s">
        <v>124</v>
      </c>
      <c r="P170" s="80" t="s">
        <v>124</v>
      </c>
      <c r="Q170" s="80" t="s">
        <v>124</v>
      </c>
      <c r="R170" s="80" t="s">
        <v>124</v>
      </c>
      <c r="S170" s="83"/>
      <c r="T170" s="83"/>
    </row>
    <row r="171" spans="2:20" ht="12.75" customHeight="1" x14ac:dyDescent="0.25">
      <c r="B171" s="50">
        <v>5</v>
      </c>
      <c r="C171" s="51" t="s">
        <v>191</v>
      </c>
      <c r="D171" s="51" t="s">
        <v>28</v>
      </c>
      <c r="E171" s="68" t="s">
        <v>96</v>
      </c>
      <c r="F171" s="61" t="s">
        <v>64</v>
      </c>
      <c r="G171" s="60">
        <v>80308</v>
      </c>
      <c r="H171" s="51" t="s">
        <v>40</v>
      </c>
      <c r="I171" s="53">
        <v>13763832.490979999</v>
      </c>
      <c r="J171" s="54">
        <v>73832340.25</v>
      </c>
      <c r="K171" s="54">
        <f t="shared" si="10"/>
        <v>87596172.740979999</v>
      </c>
      <c r="L171" s="79" t="s">
        <v>124</v>
      </c>
      <c r="M171" s="85">
        <f t="shared" si="11"/>
        <v>4379808.6370489998</v>
      </c>
      <c r="N171" s="80" t="s">
        <v>124</v>
      </c>
      <c r="O171" s="80" t="s">
        <v>124</v>
      </c>
      <c r="P171" s="80" t="s">
        <v>124</v>
      </c>
      <c r="Q171" s="80" t="s">
        <v>124</v>
      </c>
      <c r="R171" s="80" t="s">
        <v>124</v>
      </c>
      <c r="S171" s="84">
        <v>4698935.49</v>
      </c>
      <c r="T171" s="83"/>
    </row>
    <row r="172" spans="2:20" x14ac:dyDescent="0.25">
      <c r="B172" s="50">
        <v>6</v>
      </c>
      <c r="C172" s="51" t="s">
        <v>191</v>
      </c>
      <c r="D172" s="51" t="s">
        <v>28</v>
      </c>
      <c r="E172" s="68" t="s">
        <v>93</v>
      </c>
      <c r="F172" s="51" t="s">
        <v>112</v>
      </c>
      <c r="G172" s="50">
        <v>80100</v>
      </c>
      <c r="H172" s="51" t="s">
        <v>40</v>
      </c>
      <c r="I172" s="53">
        <v>11686491.680325</v>
      </c>
      <c r="J172" s="54">
        <v>25386280.399999999</v>
      </c>
      <c r="K172" s="54">
        <f t="shared" si="10"/>
        <v>37072772.080325</v>
      </c>
      <c r="L172" s="79" t="s">
        <v>124</v>
      </c>
      <c r="M172" s="85">
        <f t="shared" si="11"/>
        <v>1853638.60401625</v>
      </c>
      <c r="N172" s="80" t="s">
        <v>124</v>
      </c>
      <c r="O172" s="80" t="s">
        <v>124</v>
      </c>
      <c r="P172" s="80" t="s">
        <v>124</v>
      </c>
      <c r="Q172" s="80" t="s">
        <v>124</v>
      </c>
      <c r="R172" s="80" t="s">
        <v>124</v>
      </c>
      <c r="S172" s="84">
        <v>9433823.4299999997</v>
      </c>
      <c r="T172" s="83"/>
    </row>
    <row r="173" spans="2:20" s="123" customFormat="1" x14ac:dyDescent="0.2">
      <c r="B173" s="135">
        <v>6</v>
      </c>
      <c r="C173" s="134"/>
      <c r="D173" s="134"/>
      <c r="E173" s="134"/>
      <c r="F173" s="131" t="s">
        <v>598</v>
      </c>
      <c r="G173" s="135"/>
      <c r="H173" s="134"/>
      <c r="I173" s="320">
        <f>SUM(I167:I172)</f>
        <v>75633657.619641453</v>
      </c>
      <c r="J173" s="320">
        <f>SUM(J167:J172)</f>
        <v>176441517.4407526</v>
      </c>
      <c r="K173" s="320">
        <f t="shared" si="10"/>
        <v>252075175.06039405</v>
      </c>
      <c r="L173" s="320">
        <f t="shared" ref="L173:T173" si="12">SUM(L167:L172)</f>
        <v>0</v>
      </c>
      <c r="M173" s="320">
        <f t="shared" si="12"/>
        <v>12603758.753019704</v>
      </c>
      <c r="N173" s="320">
        <f t="shared" si="12"/>
        <v>0</v>
      </c>
      <c r="O173" s="320">
        <f t="shared" si="12"/>
        <v>0</v>
      </c>
      <c r="P173" s="320">
        <f t="shared" si="12"/>
        <v>0</v>
      </c>
      <c r="Q173" s="321">
        <f t="shared" si="12"/>
        <v>0</v>
      </c>
      <c r="R173" s="321">
        <f t="shared" si="12"/>
        <v>0</v>
      </c>
      <c r="S173" s="320">
        <f t="shared" si="12"/>
        <v>25344490.259999998</v>
      </c>
      <c r="T173" s="320">
        <f t="shared" si="12"/>
        <v>0</v>
      </c>
    </row>
    <row r="174" spans="2:20" x14ac:dyDescent="0.25">
      <c r="Q174" s="152"/>
      <c r="R174" s="152"/>
    </row>
    <row r="175" spans="2:20" ht="18" x14ac:dyDescent="0.25">
      <c r="C175" s="161" t="s">
        <v>594</v>
      </c>
      <c r="E175" s="162" t="s">
        <v>470</v>
      </c>
      <c r="I175" s="94"/>
      <c r="K175" s="148"/>
      <c r="Q175" s="152"/>
      <c r="R175" s="152"/>
    </row>
    <row r="176" spans="2:20" x14ac:dyDescent="0.25">
      <c r="B176" s="50">
        <v>1</v>
      </c>
      <c r="C176" s="57" t="s">
        <v>486</v>
      </c>
      <c r="D176" s="51" t="s">
        <v>28</v>
      </c>
      <c r="E176" s="95" t="s">
        <v>143</v>
      </c>
      <c r="F176" s="95" t="s">
        <v>144</v>
      </c>
      <c r="G176" s="50"/>
      <c r="H176" s="95" t="s">
        <v>5</v>
      </c>
      <c r="I176" s="96"/>
      <c r="J176" s="97">
        <v>873240</v>
      </c>
      <c r="K176" s="149">
        <f>+I176+J176</f>
        <v>873240</v>
      </c>
      <c r="L176" s="79" t="s">
        <v>124</v>
      </c>
      <c r="M176" s="85">
        <f t="shared" ref="M176:M191" si="13">(I176+J176)*5%</f>
        <v>43662</v>
      </c>
      <c r="N176" s="76" t="s">
        <v>124</v>
      </c>
      <c r="O176" s="76" t="s">
        <v>124</v>
      </c>
      <c r="P176" s="76" t="s">
        <v>124</v>
      </c>
      <c r="Q176" s="76" t="s">
        <v>124</v>
      </c>
      <c r="R176" s="76" t="s">
        <v>124</v>
      </c>
      <c r="S176" s="83"/>
      <c r="T176" s="83"/>
    </row>
    <row r="177" spans="2:20" x14ac:dyDescent="0.25">
      <c r="B177" s="50">
        <v>2</v>
      </c>
      <c r="C177" s="57" t="s">
        <v>486</v>
      </c>
      <c r="D177" s="51" t="s">
        <v>28</v>
      </c>
      <c r="E177" s="95" t="s">
        <v>145</v>
      </c>
      <c r="F177" s="95" t="s">
        <v>146</v>
      </c>
      <c r="G177" s="98"/>
      <c r="H177" s="95" t="s">
        <v>5</v>
      </c>
      <c r="I177" s="96"/>
      <c r="J177" s="97">
        <v>1020040</v>
      </c>
      <c r="K177" s="149">
        <f t="shared" ref="K177:K191" si="14">+I177+J177</f>
        <v>1020040</v>
      </c>
      <c r="L177" s="79" t="s">
        <v>124</v>
      </c>
      <c r="M177" s="85">
        <f t="shared" si="13"/>
        <v>51002</v>
      </c>
      <c r="N177" s="76" t="s">
        <v>124</v>
      </c>
      <c r="O177" s="76" t="s">
        <v>124</v>
      </c>
      <c r="P177" s="76" t="s">
        <v>124</v>
      </c>
      <c r="Q177" s="76" t="s">
        <v>124</v>
      </c>
      <c r="R177" s="76" t="s">
        <v>124</v>
      </c>
      <c r="S177" s="83"/>
      <c r="T177" s="83"/>
    </row>
    <row r="178" spans="2:20" x14ac:dyDescent="0.25">
      <c r="B178" s="50">
        <v>3</v>
      </c>
      <c r="C178" s="57" t="s">
        <v>486</v>
      </c>
      <c r="D178" s="51" t="s">
        <v>28</v>
      </c>
      <c r="E178" s="95" t="s">
        <v>147</v>
      </c>
      <c r="F178" s="95" t="s">
        <v>148</v>
      </c>
      <c r="G178" s="98"/>
      <c r="H178" s="95" t="s">
        <v>130</v>
      </c>
      <c r="I178" s="96"/>
      <c r="J178" s="97">
        <v>1901980</v>
      </c>
      <c r="K178" s="149">
        <f t="shared" si="14"/>
        <v>1901980</v>
      </c>
      <c r="L178" s="79" t="s">
        <v>124</v>
      </c>
      <c r="M178" s="85">
        <f t="shared" si="13"/>
        <v>95099</v>
      </c>
      <c r="N178" s="76" t="s">
        <v>124</v>
      </c>
      <c r="O178" s="76" t="s">
        <v>124</v>
      </c>
      <c r="P178" s="76" t="s">
        <v>124</v>
      </c>
      <c r="Q178" s="76" t="s">
        <v>124</v>
      </c>
      <c r="R178" s="76" t="s">
        <v>124</v>
      </c>
      <c r="S178" s="83"/>
      <c r="T178" s="83"/>
    </row>
    <row r="179" spans="2:20" x14ac:dyDescent="0.25">
      <c r="B179" s="50">
        <v>4</v>
      </c>
      <c r="C179" s="57" t="s">
        <v>486</v>
      </c>
      <c r="D179" s="51" t="s">
        <v>28</v>
      </c>
      <c r="E179" s="95" t="s">
        <v>149</v>
      </c>
      <c r="F179" s="95" t="s">
        <v>150</v>
      </c>
      <c r="G179" s="98"/>
      <c r="H179" s="95" t="s">
        <v>5</v>
      </c>
      <c r="I179" s="96"/>
      <c r="J179" s="97">
        <v>2000000</v>
      </c>
      <c r="K179" s="149">
        <f t="shared" si="14"/>
        <v>2000000</v>
      </c>
      <c r="L179" s="79" t="s">
        <v>124</v>
      </c>
      <c r="M179" s="85">
        <f t="shared" si="13"/>
        <v>100000</v>
      </c>
      <c r="N179" s="76" t="s">
        <v>124</v>
      </c>
      <c r="O179" s="76" t="s">
        <v>124</v>
      </c>
      <c r="P179" s="76" t="s">
        <v>124</v>
      </c>
      <c r="Q179" s="76" t="s">
        <v>124</v>
      </c>
      <c r="R179" s="76" t="s">
        <v>124</v>
      </c>
      <c r="S179" s="83"/>
      <c r="T179" s="83"/>
    </row>
    <row r="180" spans="2:20" x14ac:dyDescent="0.25">
      <c r="B180" s="50">
        <v>5</v>
      </c>
      <c r="C180" s="57" t="s">
        <v>486</v>
      </c>
      <c r="D180" s="51" t="s">
        <v>28</v>
      </c>
      <c r="E180" s="95" t="s">
        <v>151</v>
      </c>
      <c r="F180" s="95" t="s">
        <v>152</v>
      </c>
      <c r="G180" s="98"/>
      <c r="H180" s="95" t="s">
        <v>5</v>
      </c>
      <c r="I180" s="96"/>
      <c r="J180" s="97">
        <v>2260000</v>
      </c>
      <c r="K180" s="149">
        <f t="shared" si="14"/>
        <v>2260000</v>
      </c>
      <c r="L180" s="79" t="s">
        <v>124</v>
      </c>
      <c r="M180" s="85">
        <f t="shared" si="13"/>
        <v>113000</v>
      </c>
      <c r="N180" s="76" t="s">
        <v>124</v>
      </c>
      <c r="O180" s="76" t="s">
        <v>124</v>
      </c>
      <c r="P180" s="76" t="s">
        <v>124</v>
      </c>
      <c r="Q180" s="76" t="s">
        <v>124</v>
      </c>
      <c r="R180" s="76" t="s">
        <v>124</v>
      </c>
      <c r="S180" s="83"/>
      <c r="T180" s="83"/>
    </row>
    <row r="181" spans="2:20" x14ac:dyDescent="0.25">
      <c r="B181" s="50">
        <v>6</v>
      </c>
      <c r="C181" s="57" t="s">
        <v>486</v>
      </c>
      <c r="D181" s="51" t="s">
        <v>28</v>
      </c>
      <c r="E181" s="95" t="s">
        <v>153</v>
      </c>
      <c r="F181" s="95" t="s">
        <v>154</v>
      </c>
      <c r="G181" s="98"/>
      <c r="H181" s="95" t="s">
        <v>5</v>
      </c>
      <c r="I181" s="96"/>
      <c r="J181" s="97">
        <v>480880</v>
      </c>
      <c r="K181" s="149">
        <f t="shared" si="14"/>
        <v>480880</v>
      </c>
      <c r="L181" s="79" t="s">
        <v>124</v>
      </c>
      <c r="M181" s="85">
        <f t="shared" si="13"/>
        <v>24044</v>
      </c>
      <c r="N181" s="76" t="s">
        <v>124</v>
      </c>
      <c r="O181" s="76" t="s">
        <v>124</v>
      </c>
      <c r="P181" s="76" t="s">
        <v>124</v>
      </c>
      <c r="Q181" s="76" t="s">
        <v>124</v>
      </c>
      <c r="R181" s="76" t="s">
        <v>124</v>
      </c>
      <c r="S181" s="83"/>
      <c r="T181" s="83"/>
    </row>
    <row r="182" spans="2:20" x14ac:dyDescent="0.25">
      <c r="B182" s="50">
        <v>7</v>
      </c>
      <c r="C182" s="57" t="s">
        <v>486</v>
      </c>
      <c r="D182" s="51" t="s">
        <v>28</v>
      </c>
      <c r="E182" s="95" t="s">
        <v>155</v>
      </c>
      <c r="F182" s="95" t="s">
        <v>156</v>
      </c>
      <c r="G182" s="98"/>
      <c r="H182" s="95" t="s">
        <v>5</v>
      </c>
      <c r="I182" s="96"/>
      <c r="J182" s="97">
        <v>23896560</v>
      </c>
      <c r="K182" s="149">
        <f t="shared" si="14"/>
        <v>23896560</v>
      </c>
      <c r="L182" s="79" t="s">
        <v>124</v>
      </c>
      <c r="M182" s="85">
        <f t="shared" si="13"/>
        <v>1194828</v>
      </c>
      <c r="N182" s="76" t="s">
        <v>124</v>
      </c>
      <c r="O182" s="76" t="s">
        <v>124</v>
      </c>
      <c r="P182" s="76" t="s">
        <v>124</v>
      </c>
      <c r="Q182" s="76" t="s">
        <v>124</v>
      </c>
      <c r="R182" s="76" t="s">
        <v>124</v>
      </c>
      <c r="S182" s="83"/>
      <c r="T182" s="83"/>
    </row>
    <row r="183" spans="2:20" x14ac:dyDescent="0.25">
      <c r="B183" s="50">
        <v>8</v>
      </c>
      <c r="C183" s="57" t="s">
        <v>486</v>
      </c>
      <c r="D183" s="51" t="s">
        <v>28</v>
      </c>
      <c r="E183" s="95" t="s">
        <v>157</v>
      </c>
      <c r="F183" s="95" t="s">
        <v>158</v>
      </c>
      <c r="G183" s="98"/>
      <c r="H183" s="95" t="s">
        <v>5</v>
      </c>
      <c r="I183" s="96"/>
      <c r="J183" s="97">
        <v>2160000</v>
      </c>
      <c r="K183" s="149">
        <f t="shared" si="14"/>
        <v>2160000</v>
      </c>
      <c r="L183" s="79" t="s">
        <v>124</v>
      </c>
      <c r="M183" s="85">
        <f t="shared" si="13"/>
        <v>108000</v>
      </c>
      <c r="N183" s="76" t="s">
        <v>124</v>
      </c>
      <c r="O183" s="76" t="s">
        <v>124</v>
      </c>
      <c r="P183" s="76" t="s">
        <v>124</v>
      </c>
      <c r="Q183" s="76" t="s">
        <v>124</v>
      </c>
      <c r="R183" s="76" t="s">
        <v>124</v>
      </c>
      <c r="S183" s="83"/>
      <c r="T183" s="83"/>
    </row>
    <row r="184" spans="2:20" x14ac:dyDescent="0.25">
      <c r="B184" s="50">
        <v>9</v>
      </c>
      <c r="C184" s="57" t="s">
        <v>486</v>
      </c>
      <c r="D184" s="51" t="s">
        <v>28</v>
      </c>
      <c r="E184" s="95" t="s">
        <v>159</v>
      </c>
      <c r="F184" s="95" t="s">
        <v>160</v>
      </c>
      <c r="G184" s="98"/>
      <c r="H184" s="95" t="s">
        <v>5</v>
      </c>
      <c r="I184" s="96"/>
      <c r="J184" s="97">
        <v>974000</v>
      </c>
      <c r="K184" s="149">
        <f t="shared" si="14"/>
        <v>974000</v>
      </c>
      <c r="L184" s="79" t="s">
        <v>124</v>
      </c>
      <c r="M184" s="85">
        <f t="shared" si="13"/>
        <v>48700</v>
      </c>
      <c r="N184" s="76" t="s">
        <v>124</v>
      </c>
      <c r="O184" s="76" t="s">
        <v>124</v>
      </c>
      <c r="P184" s="76" t="s">
        <v>124</v>
      </c>
      <c r="Q184" s="76" t="s">
        <v>124</v>
      </c>
      <c r="R184" s="76" t="s">
        <v>124</v>
      </c>
      <c r="S184" s="83"/>
      <c r="T184" s="83"/>
    </row>
    <row r="185" spans="2:20" x14ac:dyDescent="0.25">
      <c r="B185" s="50">
        <v>10</v>
      </c>
      <c r="C185" s="57" t="s">
        <v>486</v>
      </c>
      <c r="D185" s="51" t="s">
        <v>28</v>
      </c>
      <c r="E185" s="95" t="s">
        <v>161</v>
      </c>
      <c r="F185" s="95" t="s">
        <v>162</v>
      </c>
      <c r="G185" s="98"/>
      <c r="H185" s="95" t="s">
        <v>2</v>
      </c>
      <c r="I185" s="96"/>
      <c r="J185" s="97">
        <v>314420</v>
      </c>
      <c r="K185" s="149">
        <f t="shared" si="14"/>
        <v>314420</v>
      </c>
      <c r="L185" s="79" t="s">
        <v>124</v>
      </c>
      <c r="M185" s="85">
        <f t="shared" si="13"/>
        <v>15721</v>
      </c>
      <c r="N185" s="76" t="s">
        <v>124</v>
      </c>
      <c r="O185" s="76" t="s">
        <v>124</v>
      </c>
      <c r="P185" s="76" t="s">
        <v>124</v>
      </c>
      <c r="Q185" s="76" t="s">
        <v>124</v>
      </c>
      <c r="R185" s="76" t="s">
        <v>124</v>
      </c>
      <c r="S185" s="83"/>
      <c r="T185" s="83"/>
    </row>
    <row r="186" spans="2:20" x14ac:dyDescent="0.25">
      <c r="B186" s="50">
        <v>11</v>
      </c>
      <c r="C186" s="57" t="s">
        <v>486</v>
      </c>
      <c r="D186" s="51" t="s">
        <v>28</v>
      </c>
      <c r="E186" s="95" t="s">
        <v>163</v>
      </c>
      <c r="F186" s="95" t="s">
        <v>164</v>
      </c>
      <c r="G186" s="98"/>
      <c r="H186" s="95" t="s">
        <v>2</v>
      </c>
      <c r="I186" s="96"/>
      <c r="J186" s="97">
        <v>1926220</v>
      </c>
      <c r="K186" s="149">
        <f t="shared" si="14"/>
        <v>1926220</v>
      </c>
      <c r="L186" s="79" t="s">
        <v>124</v>
      </c>
      <c r="M186" s="85">
        <f t="shared" si="13"/>
        <v>96311</v>
      </c>
      <c r="N186" s="76" t="s">
        <v>124</v>
      </c>
      <c r="O186" s="76" t="s">
        <v>124</v>
      </c>
      <c r="P186" s="76" t="s">
        <v>124</v>
      </c>
      <c r="Q186" s="76" t="s">
        <v>124</v>
      </c>
      <c r="R186" s="76" t="s">
        <v>124</v>
      </c>
      <c r="S186" s="83"/>
      <c r="T186" s="83"/>
    </row>
    <row r="187" spans="2:20" x14ac:dyDescent="0.25">
      <c r="B187" s="50">
        <v>12</v>
      </c>
      <c r="C187" s="57" t="s">
        <v>486</v>
      </c>
      <c r="D187" s="51" t="s">
        <v>28</v>
      </c>
      <c r="E187" s="95" t="s">
        <v>165</v>
      </c>
      <c r="F187" s="95" t="s">
        <v>166</v>
      </c>
      <c r="G187" s="98"/>
      <c r="H187" s="95" t="s">
        <v>175</v>
      </c>
      <c r="I187" s="96"/>
      <c r="J187" s="97">
        <v>184220</v>
      </c>
      <c r="K187" s="149">
        <f t="shared" si="14"/>
        <v>184220</v>
      </c>
      <c r="L187" s="79" t="s">
        <v>124</v>
      </c>
      <c r="M187" s="85">
        <f t="shared" si="13"/>
        <v>9211</v>
      </c>
      <c r="N187" s="76" t="s">
        <v>124</v>
      </c>
      <c r="O187" s="76" t="s">
        <v>124</v>
      </c>
      <c r="P187" s="76" t="s">
        <v>124</v>
      </c>
      <c r="Q187" s="76" t="s">
        <v>124</v>
      </c>
      <c r="R187" s="76" t="s">
        <v>124</v>
      </c>
      <c r="S187" s="83"/>
      <c r="T187" s="83"/>
    </row>
    <row r="188" spans="2:20" x14ac:dyDescent="0.25">
      <c r="B188" s="50">
        <v>13</v>
      </c>
      <c r="C188" s="57" t="s">
        <v>486</v>
      </c>
      <c r="D188" s="51" t="s">
        <v>28</v>
      </c>
      <c r="E188" s="95" t="s">
        <v>167</v>
      </c>
      <c r="F188" s="95" t="s">
        <v>168</v>
      </c>
      <c r="G188" s="98"/>
      <c r="H188" s="95" t="s">
        <v>101</v>
      </c>
      <c r="I188" s="96"/>
      <c r="J188" s="97">
        <v>358360</v>
      </c>
      <c r="K188" s="149">
        <f t="shared" si="14"/>
        <v>358360</v>
      </c>
      <c r="L188" s="79" t="s">
        <v>124</v>
      </c>
      <c r="M188" s="85">
        <f t="shared" si="13"/>
        <v>17918</v>
      </c>
      <c r="N188" s="76" t="s">
        <v>124</v>
      </c>
      <c r="O188" s="76" t="s">
        <v>124</v>
      </c>
      <c r="P188" s="76" t="s">
        <v>124</v>
      </c>
      <c r="Q188" s="76" t="s">
        <v>124</v>
      </c>
      <c r="R188" s="76" t="s">
        <v>124</v>
      </c>
      <c r="S188" s="83"/>
      <c r="T188" s="83"/>
    </row>
    <row r="189" spans="2:20" x14ac:dyDescent="0.25">
      <c r="B189" s="50">
        <v>14</v>
      </c>
      <c r="C189" s="57" t="s">
        <v>486</v>
      </c>
      <c r="D189" s="51" t="s">
        <v>28</v>
      </c>
      <c r="E189" s="95" t="s">
        <v>169</v>
      </c>
      <c r="F189" s="95" t="s">
        <v>170</v>
      </c>
      <c r="G189" s="98"/>
      <c r="H189" s="95" t="s">
        <v>101</v>
      </c>
      <c r="I189" s="96"/>
      <c r="J189" s="97">
        <v>9522000</v>
      </c>
      <c r="K189" s="149">
        <f t="shared" si="14"/>
        <v>9522000</v>
      </c>
      <c r="L189" s="79" t="s">
        <v>124</v>
      </c>
      <c r="M189" s="85">
        <f t="shared" si="13"/>
        <v>476100</v>
      </c>
      <c r="N189" s="76" t="s">
        <v>124</v>
      </c>
      <c r="O189" s="76" t="s">
        <v>124</v>
      </c>
      <c r="P189" s="76" t="s">
        <v>124</v>
      </c>
      <c r="Q189" s="76" t="s">
        <v>124</v>
      </c>
      <c r="R189" s="76" t="s">
        <v>124</v>
      </c>
      <c r="S189" s="83"/>
      <c r="T189" s="83"/>
    </row>
    <row r="190" spans="2:20" x14ac:dyDescent="0.25">
      <c r="B190" s="50">
        <v>15</v>
      </c>
      <c r="C190" s="57" t="s">
        <v>486</v>
      </c>
      <c r="D190" s="51" t="s">
        <v>28</v>
      </c>
      <c r="E190" s="95" t="s">
        <v>171</v>
      </c>
      <c r="F190" s="95" t="s">
        <v>172</v>
      </c>
      <c r="G190" s="98"/>
      <c r="H190" s="95" t="s">
        <v>101</v>
      </c>
      <c r="I190" s="96"/>
      <c r="J190" s="97">
        <v>504000</v>
      </c>
      <c r="K190" s="149">
        <f t="shared" si="14"/>
        <v>504000</v>
      </c>
      <c r="L190" s="79" t="s">
        <v>124</v>
      </c>
      <c r="M190" s="85">
        <f t="shared" si="13"/>
        <v>25200</v>
      </c>
      <c r="N190" s="76" t="s">
        <v>124</v>
      </c>
      <c r="O190" s="76" t="s">
        <v>124</v>
      </c>
      <c r="P190" s="76" t="s">
        <v>124</v>
      </c>
      <c r="Q190" s="76" t="s">
        <v>124</v>
      </c>
      <c r="R190" s="76" t="s">
        <v>124</v>
      </c>
      <c r="S190" s="83"/>
      <c r="T190" s="83"/>
    </row>
    <row r="191" spans="2:20" x14ac:dyDescent="0.25">
      <c r="B191" s="50">
        <v>16</v>
      </c>
      <c r="C191" s="57" t="s">
        <v>486</v>
      </c>
      <c r="D191" s="51" t="s">
        <v>28</v>
      </c>
      <c r="E191" s="95" t="s">
        <v>173</v>
      </c>
      <c r="F191" s="95" t="s">
        <v>174</v>
      </c>
      <c r="G191" s="98"/>
      <c r="H191" s="95" t="s">
        <v>101</v>
      </c>
      <c r="I191" s="96"/>
      <c r="J191" s="97">
        <v>400000</v>
      </c>
      <c r="K191" s="149">
        <f t="shared" si="14"/>
        <v>400000</v>
      </c>
      <c r="L191" s="79" t="s">
        <v>124</v>
      </c>
      <c r="M191" s="85">
        <f t="shared" si="13"/>
        <v>20000</v>
      </c>
      <c r="N191" s="76" t="s">
        <v>124</v>
      </c>
      <c r="O191" s="76" t="s">
        <v>124</v>
      </c>
      <c r="P191" s="76" t="s">
        <v>124</v>
      </c>
      <c r="Q191" s="76" t="s">
        <v>124</v>
      </c>
      <c r="R191" s="76" t="s">
        <v>124</v>
      </c>
      <c r="S191" s="83"/>
      <c r="T191" s="83"/>
    </row>
    <row r="192" spans="2:20" s="123" customFormat="1" x14ac:dyDescent="0.2">
      <c r="B192" s="122">
        <v>16</v>
      </c>
      <c r="C192" s="134"/>
      <c r="D192" s="134"/>
      <c r="E192" s="134"/>
      <c r="F192" s="131" t="s">
        <v>597</v>
      </c>
      <c r="G192" s="135"/>
      <c r="H192" s="134"/>
      <c r="I192" s="320">
        <f t="shared" ref="I192:T192" si="15">SUM(I176:I191)</f>
        <v>0</v>
      </c>
      <c r="J192" s="320">
        <f t="shared" si="15"/>
        <v>48775920</v>
      </c>
      <c r="K192" s="320">
        <f t="shared" si="15"/>
        <v>48775920</v>
      </c>
      <c r="L192" s="320">
        <f t="shared" si="15"/>
        <v>0</v>
      </c>
      <c r="M192" s="320">
        <f t="shared" si="15"/>
        <v>2438796</v>
      </c>
      <c r="N192" s="320">
        <f t="shared" si="15"/>
        <v>0</v>
      </c>
      <c r="O192" s="320">
        <f t="shared" si="15"/>
        <v>0</v>
      </c>
      <c r="P192" s="320">
        <f t="shared" si="15"/>
        <v>0</v>
      </c>
      <c r="Q192" s="321">
        <f t="shared" si="15"/>
        <v>0</v>
      </c>
      <c r="R192" s="321">
        <f t="shared" si="15"/>
        <v>0</v>
      </c>
      <c r="S192" s="320">
        <f t="shared" si="15"/>
        <v>0</v>
      </c>
      <c r="T192" s="320">
        <f t="shared" si="15"/>
        <v>0</v>
      </c>
    </row>
    <row r="193" spans="2:20" s="91" customFormat="1" ht="11.25" hidden="1" x14ac:dyDescent="0.2">
      <c r="B193" s="99"/>
      <c r="C193" s="9"/>
      <c r="D193" s="9"/>
      <c r="E193" s="100"/>
      <c r="F193" s="9"/>
      <c r="G193" s="99"/>
      <c r="H193" s="9"/>
      <c r="I193" s="101"/>
      <c r="J193" s="90"/>
      <c r="K193" s="90"/>
      <c r="Q193" s="169"/>
      <c r="R193" s="169"/>
    </row>
    <row r="194" spans="2:20" s="91" customFormat="1" ht="15.75" x14ac:dyDescent="0.2">
      <c r="B194" s="99"/>
      <c r="C194" s="379" t="s">
        <v>594</v>
      </c>
      <c r="D194" s="9"/>
      <c r="E194" s="162" t="s">
        <v>471</v>
      </c>
      <c r="F194" s="9"/>
      <c r="G194" s="99"/>
      <c r="H194" s="9"/>
      <c r="J194" s="90"/>
      <c r="K194" s="110"/>
      <c r="Q194" s="169"/>
      <c r="R194" s="169"/>
    </row>
    <row r="195" spans="2:20" s="91" customFormat="1" ht="11.25" x14ac:dyDescent="0.2">
      <c r="B195" s="50">
        <v>1</v>
      </c>
      <c r="C195" s="57" t="s">
        <v>178</v>
      </c>
      <c r="D195" s="66" t="s">
        <v>28</v>
      </c>
      <c r="E195" s="102" t="s">
        <v>176</v>
      </c>
      <c r="F195" s="95" t="s">
        <v>177</v>
      </c>
      <c r="G195" s="103"/>
      <c r="H195" s="102" t="s">
        <v>101</v>
      </c>
      <c r="I195" s="53">
        <v>2706805.6</v>
      </c>
      <c r="J195" s="97">
        <v>73709.009999999995</v>
      </c>
      <c r="K195" s="10">
        <f>+I195+J195</f>
        <v>2780514.61</v>
      </c>
      <c r="L195" s="79" t="s">
        <v>124</v>
      </c>
      <c r="M195" s="85">
        <f>(I195+J195)*5%</f>
        <v>139025.73050000001</v>
      </c>
      <c r="N195" s="76" t="s">
        <v>124</v>
      </c>
      <c r="O195" s="76" t="s">
        <v>124</v>
      </c>
      <c r="P195" s="76" t="s">
        <v>124</v>
      </c>
      <c r="Q195" s="76" t="s">
        <v>124</v>
      </c>
      <c r="R195" s="76" t="s">
        <v>124</v>
      </c>
      <c r="S195" s="83"/>
      <c r="T195" s="83"/>
    </row>
    <row r="196" spans="2:20" ht="13.5" x14ac:dyDescent="0.25">
      <c r="B196" s="328">
        <v>1</v>
      </c>
      <c r="C196" s="130"/>
      <c r="D196" s="130"/>
      <c r="E196" s="130"/>
      <c r="F196" s="131" t="s">
        <v>596</v>
      </c>
      <c r="G196" s="132"/>
      <c r="H196" s="130"/>
      <c r="I196" s="320">
        <f>SUM(I195)</f>
        <v>2706805.6</v>
      </c>
      <c r="J196" s="320">
        <f>SUM(J195)</f>
        <v>73709.009999999995</v>
      </c>
      <c r="K196" s="320">
        <f>SUM(K195)</f>
        <v>2780514.61</v>
      </c>
      <c r="L196" s="320">
        <f t="shared" ref="L196:T196" si="16">SUM(L195)</f>
        <v>0</v>
      </c>
      <c r="M196" s="320">
        <f t="shared" si="16"/>
        <v>139025.73050000001</v>
      </c>
      <c r="N196" s="320">
        <f t="shared" si="16"/>
        <v>0</v>
      </c>
      <c r="O196" s="320">
        <f t="shared" si="16"/>
        <v>0</v>
      </c>
      <c r="P196" s="320">
        <f t="shared" si="16"/>
        <v>0</v>
      </c>
      <c r="Q196" s="321">
        <f t="shared" si="16"/>
        <v>0</v>
      </c>
      <c r="R196" s="321">
        <f t="shared" si="16"/>
        <v>0</v>
      </c>
      <c r="S196" s="320">
        <f t="shared" si="16"/>
        <v>0</v>
      </c>
      <c r="T196" s="320">
        <f t="shared" si="16"/>
        <v>0</v>
      </c>
    </row>
    <row r="197" spans="2:20" s="91" customFormat="1" ht="11.25" hidden="1" x14ac:dyDescent="0.2">
      <c r="B197" s="99"/>
      <c r="C197" s="9"/>
      <c r="D197" s="9"/>
      <c r="E197" s="100"/>
      <c r="F197" s="9"/>
      <c r="G197" s="99"/>
      <c r="H197" s="9"/>
      <c r="J197" s="90"/>
      <c r="K197" s="90"/>
      <c r="Q197" s="169"/>
      <c r="R197" s="169"/>
    </row>
    <row r="198" spans="2:20" s="91" customFormat="1" ht="15.75" x14ac:dyDescent="0.2">
      <c r="B198" s="99"/>
      <c r="C198" s="379" t="s">
        <v>594</v>
      </c>
      <c r="D198" s="9"/>
      <c r="E198" s="162" t="s">
        <v>472</v>
      </c>
      <c r="F198" s="9"/>
      <c r="G198" s="99"/>
      <c r="H198" s="9"/>
      <c r="J198" s="90"/>
      <c r="K198" s="90"/>
      <c r="Q198" s="169"/>
      <c r="R198" s="169"/>
    </row>
    <row r="199" spans="2:20" s="91" customFormat="1" ht="11.25" x14ac:dyDescent="0.2">
      <c r="B199" s="50">
        <v>1</v>
      </c>
      <c r="C199" s="51" t="s">
        <v>83</v>
      </c>
      <c r="D199" s="51" t="s">
        <v>28</v>
      </c>
      <c r="E199" s="66" t="s">
        <v>184</v>
      </c>
      <c r="F199" s="51" t="s">
        <v>179</v>
      </c>
      <c r="G199" s="50"/>
      <c r="H199" s="66" t="s">
        <v>35</v>
      </c>
      <c r="I199" s="104">
        <v>84000</v>
      </c>
      <c r="J199" s="54">
        <v>100291.92</v>
      </c>
      <c r="K199" s="54">
        <f>+I199+J199</f>
        <v>184291.91999999998</v>
      </c>
      <c r="L199" s="79" t="s">
        <v>124</v>
      </c>
      <c r="M199" s="85">
        <f>(I199+J199)*5%</f>
        <v>9214.5959999999995</v>
      </c>
      <c r="N199" s="79" t="s">
        <v>124</v>
      </c>
      <c r="O199" s="79" t="s">
        <v>124</v>
      </c>
      <c r="P199" s="79" t="s">
        <v>124</v>
      </c>
      <c r="Q199" s="79" t="s">
        <v>124</v>
      </c>
      <c r="R199" s="79" t="s">
        <v>124</v>
      </c>
      <c r="S199" s="83"/>
      <c r="T199" s="83"/>
    </row>
    <row r="200" spans="2:20" s="91" customFormat="1" ht="11.25" x14ac:dyDescent="0.2">
      <c r="B200" s="50">
        <v>2</v>
      </c>
      <c r="C200" s="51" t="s">
        <v>83</v>
      </c>
      <c r="D200" s="51" t="s">
        <v>28</v>
      </c>
      <c r="E200" s="66" t="s">
        <v>185</v>
      </c>
      <c r="F200" s="51" t="s">
        <v>180</v>
      </c>
      <c r="G200" s="50"/>
      <c r="H200" s="66" t="s">
        <v>49</v>
      </c>
      <c r="I200" s="104">
        <v>368323.2</v>
      </c>
      <c r="J200" s="54">
        <v>208881.49</v>
      </c>
      <c r="K200" s="54">
        <f>+I200+J200</f>
        <v>577204.68999999994</v>
      </c>
      <c r="L200" s="79" t="s">
        <v>124</v>
      </c>
      <c r="M200" s="85">
        <f>(I200+J200)*5%</f>
        <v>28860.234499999999</v>
      </c>
      <c r="N200" s="79" t="s">
        <v>124</v>
      </c>
      <c r="O200" s="79" t="s">
        <v>124</v>
      </c>
      <c r="P200" s="79" t="s">
        <v>124</v>
      </c>
      <c r="Q200" s="79" t="s">
        <v>124</v>
      </c>
      <c r="R200" s="79" t="s">
        <v>124</v>
      </c>
      <c r="S200" s="83"/>
      <c r="T200" s="83"/>
    </row>
    <row r="201" spans="2:20" s="91" customFormat="1" ht="11.25" x14ac:dyDescent="0.2">
      <c r="B201" s="50">
        <v>3</v>
      </c>
      <c r="C201" s="51" t="s">
        <v>83</v>
      </c>
      <c r="D201" s="51" t="s">
        <v>28</v>
      </c>
      <c r="E201" s="66" t="s">
        <v>186</v>
      </c>
      <c r="F201" s="51" t="s">
        <v>181</v>
      </c>
      <c r="G201" s="50"/>
      <c r="H201" s="51" t="s">
        <v>189</v>
      </c>
      <c r="I201" s="104">
        <v>805888.9</v>
      </c>
      <c r="J201" s="54">
        <v>225920.27</v>
      </c>
      <c r="K201" s="54">
        <f>+I201+J201</f>
        <v>1031809.17</v>
      </c>
      <c r="L201" s="79" t="s">
        <v>124</v>
      </c>
      <c r="M201" s="85">
        <f>(I201+J201)*5%</f>
        <v>51590.458500000008</v>
      </c>
      <c r="N201" s="79" t="s">
        <v>124</v>
      </c>
      <c r="O201" s="79" t="s">
        <v>124</v>
      </c>
      <c r="P201" s="79" t="s">
        <v>124</v>
      </c>
      <c r="Q201" s="79" t="s">
        <v>124</v>
      </c>
      <c r="R201" s="79" t="s">
        <v>124</v>
      </c>
      <c r="S201" s="83"/>
      <c r="T201" s="83"/>
    </row>
    <row r="202" spans="2:20" s="91" customFormat="1" ht="11.25" x14ac:dyDescent="0.2">
      <c r="B202" s="50">
        <v>4</v>
      </c>
      <c r="C202" s="51" t="s">
        <v>83</v>
      </c>
      <c r="D202" s="51" t="s">
        <v>28</v>
      </c>
      <c r="E202" s="66" t="s">
        <v>187</v>
      </c>
      <c r="F202" s="51" t="s">
        <v>182</v>
      </c>
      <c r="G202" s="50"/>
      <c r="H202" s="66" t="s">
        <v>101</v>
      </c>
      <c r="I202" s="104">
        <v>7642425.7000000002</v>
      </c>
      <c r="J202" s="54">
        <v>1142464.0900000001</v>
      </c>
      <c r="K202" s="54">
        <f>+I202+J202</f>
        <v>8784889.790000001</v>
      </c>
      <c r="L202" s="79" t="s">
        <v>124</v>
      </c>
      <c r="M202" s="85">
        <f>(I202+J202)*5%</f>
        <v>439244.48950000008</v>
      </c>
      <c r="N202" s="79" t="s">
        <v>124</v>
      </c>
      <c r="O202" s="79" t="s">
        <v>124</v>
      </c>
      <c r="P202" s="79" t="s">
        <v>124</v>
      </c>
      <c r="Q202" s="79" t="s">
        <v>124</v>
      </c>
      <c r="R202" s="79" t="s">
        <v>124</v>
      </c>
      <c r="S202" s="83"/>
      <c r="T202" s="83"/>
    </row>
    <row r="203" spans="2:20" s="91" customFormat="1" ht="11.25" x14ac:dyDescent="0.2">
      <c r="B203" s="50">
        <v>5</v>
      </c>
      <c r="C203" s="51" t="s">
        <v>83</v>
      </c>
      <c r="D203" s="51" t="s">
        <v>28</v>
      </c>
      <c r="E203" s="66" t="s">
        <v>188</v>
      </c>
      <c r="F203" s="51" t="s">
        <v>183</v>
      </c>
      <c r="G203" s="50"/>
      <c r="H203" s="66" t="s">
        <v>190</v>
      </c>
      <c r="I203" s="104">
        <v>100013</v>
      </c>
      <c r="J203" s="54">
        <v>256714.62</v>
      </c>
      <c r="K203" s="54">
        <f>+I203+J203</f>
        <v>356727.62</v>
      </c>
      <c r="L203" s="79" t="s">
        <v>124</v>
      </c>
      <c r="M203" s="85">
        <f>(I203+J203)*5%</f>
        <v>17836.381000000001</v>
      </c>
      <c r="N203" s="79" t="s">
        <v>124</v>
      </c>
      <c r="O203" s="79" t="s">
        <v>124</v>
      </c>
      <c r="P203" s="79" t="s">
        <v>124</v>
      </c>
      <c r="Q203" s="79" t="s">
        <v>124</v>
      </c>
      <c r="R203" s="79" t="s">
        <v>124</v>
      </c>
      <c r="S203" s="83"/>
      <c r="T203" s="83"/>
    </row>
    <row r="204" spans="2:20" ht="13.5" x14ac:dyDescent="0.25">
      <c r="B204" s="328">
        <f>+B203</f>
        <v>5</v>
      </c>
      <c r="C204" s="130"/>
      <c r="D204" s="130"/>
      <c r="E204" s="130"/>
      <c r="F204" s="131" t="s">
        <v>595</v>
      </c>
      <c r="G204" s="132"/>
      <c r="H204" s="130"/>
      <c r="I204" s="320">
        <f>SUM(I199:I203)</f>
        <v>9000650.8000000007</v>
      </c>
      <c r="J204" s="320">
        <f t="shared" ref="J204:T204" si="17">SUM(J199:J203)</f>
        <v>1934272.3900000001</v>
      </c>
      <c r="K204" s="320">
        <f>SUM(K199:K203)</f>
        <v>10934923.189999999</v>
      </c>
      <c r="L204" s="320">
        <f t="shared" si="17"/>
        <v>0</v>
      </c>
      <c r="M204" s="320">
        <f t="shared" si="17"/>
        <v>546746.15950000018</v>
      </c>
      <c r="N204" s="320">
        <f t="shared" si="17"/>
        <v>0</v>
      </c>
      <c r="O204" s="320">
        <f t="shared" si="17"/>
        <v>0</v>
      </c>
      <c r="P204" s="320">
        <f t="shared" si="17"/>
        <v>0</v>
      </c>
      <c r="Q204" s="321">
        <f t="shared" si="17"/>
        <v>0</v>
      </c>
      <c r="R204" s="321">
        <f t="shared" si="17"/>
        <v>0</v>
      </c>
      <c r="S204" s="320">
        <f t="shared" si="17"/>
        <v>0</v>
      </c>
      <c r="T204" s="320">
        <f t="shared" si="17"/>
        <v>0</v>
      </c>
    </row>
    <row r="205" spans="2:20" s="91" customFormat="1" ht="11.25" x14ac:dyDescent="0.2">
      <c r="B205" s="99"/>
      <c r="C205" s="9"/>
      <c r="D205" s="9"/>
      <c r="E205" s="100"/>
      <c r="F205" s="9"/>
      <c r="G205" s="99"/>
      <c r="H205" s="9"/>
      <c r="J205" s="90"/>
      <c r="K205" s="90"/>
      <c r="Q205" s="169"/>
      <c r="R205" s="169"/>
    </row>
    <row r="206" spans="2:20" s="91" customFormat="1" ht="11.25" x14ac:dyDescent="0.2">
      <c r="B206" s="99"/>
      <c r="C206" s="9"/>
      <c r="D206" s="9"/>
      <c r="E206" s="100"/>
      <c r="F206" s="9"/>
      <c r="G206" s="99"/>
      <c r="H206" s="9"/>
      <c r="J206" s="90"/>
      <c r="K206" s="90"/>
      <c r="Q206" s="169"/>
      <c r="R206" s="169"/>
    </row>
    <row r="207" spans="2:20" s="124" customFormat="1" ht="20.25" customHeight="1" thickBot="1" x14ac:dyDescent="0.3">
      <c r="B207" s="470">
        <f>+B41+B164+B173+B192+B196+B204</f>
        <v>184</v>
      </c>
      <c r="C207" s="126"/>
      <c r="D207" s="126"/>
      <c r="E207" s="127"/>
      <c r="F207" s="410" t="s">
        <v>613</v>
      </c>
      <c r="G207" s="125"/>
      <c r="H207" s="126"/>
      <c r="I207" s="273">
        <f t="shared" ref="I207:T207" si="18">SUM(I41,I164,I173,I192,I196,I204)</f>
        <v>1790380800.2059288</v>
      </c>
      <c r="J207" s="273">
        <f t="shared" si="18"/>
        <v>741166757.85086501</v>
      </c>
      <c r="K207" s="273">
        <f t="shared" si="18"/>
        <v>2531547558.0567932</v>
      </c>
      <c r="L207" s="273">
        <f t="shared" si="18"/>
        <v>20000000</v>
      </c>
      <c r="M207" s="273">
        <f t="shared" si="18"/>
        <v>126577377.90283968</v>
      </c>
      <c r="N207" s="273">
        <f t="shared" si="18"/>
        <v>50000000</v>
      </c>
      <c r="O207" s="273">
        <f t="shared" si="18"/>
        <v>20000000</v>
      </c>
      <c r="P207" s="273">
        <f t="shared" si="18"/>
        <v>1500000</v>
      </c>
      <c r="Q207" s="409">
        <f t="shared" si="18"/>
        <v>500000</v>
      </c>
      <c r="R207" s="409">
        <f t="shared" si="18"/>
        <v>500000</v>
      </c>
      <c r="S207" s="273">
        <f t="shared" si="18"/>
        <v>115344490.25999999</v>
      </c>
      <c r="T207" s="273">
        <f t="shared" si="18"/>
        <v>7839846</v>
      </c>
    </row>
    <row r="208" spans="2:20" s="91" customFormat="1" ht="11.25" x14ac:dyDescent="0.2">
      <c r="B208" s="99"/>
      <c r="C208" s="9"/>
      <c r="D208" s="9"/>
      <c r="E208" s="100"/>
      <c r="F208" s="9"/>
      <c r="G208" s="99"/>
      <c r="H208" s="9"/>
      <c r="J208" s="90"/>
      <c r="K208" s="90"/>
      <c r="L208" s="171" t="s">
        <v>487</v>
      </c>
      <c r="N208" s="171" t="s">
        <v>487</v>
      </c>
      <c r="O208" s="171" t="s">
        <v>487</v>
      </c>
      <c r="P208" s="171" t="s">
        <v>487</v>
      </c>
      <c r="Q208" s="171" t="s">
        <v>487</v>
      </c>
      <c r="R208" s="171" t="s">
        <v>487</v>
      </c>
      <c r="S208" s="171" t="s">
        <v>487</v>
      </c>
      <c r="T208" s="171" t="s">
        <v>487</v>
      </c>
    </row>
    <row r="209" spans="9:20" x14ac:dyDescent="0.25">
      <c r="I209" s="150" t="s">
        <v>474</v>
      </c>
      <c r="J209" s="150" t="s">
        <v>475</v>
      </c>
      <c r="K209" s="150" t="s">
        <v>476</v>
      </c>
      <c r="L209" s="151" t="s">
        <v>477</v>
      </c>
      <c r="M209" s="151" t="s">
        <v>478</v>
      </c>
      <c r="N209" s="152" t="s">
        <v>479</v>
      </c>
      <c r="O209" s="152" t="s">
        <v>480</v>
      </c>
      <c r="P209" s="152" t="s">
        <v>481</v>
      </c>
      <c r="Q209" s="152" t="s">
        <v>482</v>
      </c>
      <c r="R209" s="152" t="s">
        <v>483</v>
      </c>
      <c r="S209" s="152" t="s">
        <v>484</v>
      </c>
      <c r="T209" s="152" t="s">
        <v>485</v>
      </c>
    </row>
    <row r="210" spans="9:20" x14ac:dyDescent="0.25">
      <c r="Q210" s="152"/>
      <c r="R210" s="152"/>
    </row>
    <row r="212" spans="9:20" x14ac:dyDescent="0.25">
      <c r="I212" s="383"/>
    </row>
  </sheetData>
  <mergeCells count="2">
    <mergeCell ref="C4:D4"/>
    <mergeCell ref="C43:D43"/>
  </mergeCells>
  <conditionalFormatting sqref="I44:T163">
    <cfRule type="cellIs" dxfId="24" priority="6" operator="equal">
      <formula>0</formula>
    </cfRule>
    <cfRule type="cellIs" dxfId="23" priority="7" operator="equal">
      <formula>4300905</formula>
    </cfRule>
  </conditionalFormatting>
  <conditionalFormatting sqref="I176:I191 S5:T40 O5:O40">
    <cfRule type="cellIs" dxfId="22" priority="5" operator="equal">
      <formula>0</formula>
    </cfRule>
  </conditionalFormatting>
  <conditionalFormatting sqref="I195:T195 I167:T172 J176:T191 I199:T203">
    <cfRule type="cellIs" dxfId="21" priority="4" operator="equal">
      <formula>0</formula>
    </cfRule>
  </conditionalFormatting>
  <conditionalFormatting sqref="S3:T3">
    <cfRule type="cellIs" dxfId="20" priority="1" operator="equal">
      <formula>0</formula>
    </cfRule>
  </conditionalFormatting>
  <printOptions horizontalCentered="1"/>
  <pageMargins left="3.9370078740157501E-2" right="3.9370078740157501E-2" top="0.15748031496063" bottom="0.15748031496063" header="0.25" footer="0.31496062992126"/>
  <pageSetup paperSize="119" scale="34" fitToHeight="10" orientation="landscape" r:id="rId1"/>
  <customProperties>
    <customPr name="LastActive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22"/>
  <sheetViews>
    <sheetView showGridLines="0" topLeftCell="A3" workbookViewId="0">
      <selection activeCell="B6" sqref="B6"/>
    </sheetView>
  </sheetViews>
  <sheetFormatPr baseColWidth="10" defaultColWidth="9.140625" defaultRowHeight="15" x14ac:dyDescent="0.25"/>
  <cols>
    <col min="2" max="2" width="70.7109375" customWidth="1"/>
  </cols>
  <sheetData>
    <row r="3" spans="2:2" ht="23.25" customHeight="1" x14ac:dyDescent="0.25">
      <c r="B3" s="279" t="s">
        <v>566</v>
      </c>
    </row>
    <row r="5" spans="2:2" x14ac:dyDescent="0.25">
      <c r="B5" s="278" t="s">
        <v>567</v>
      </c>
    </row>
    <row r="6" spans="2:2" x14ac:dyDescent="0.25">
      <c r="B6" s="278" t="s">
        <v>568</v>
      </c>
    </row>
    <row r="7" spans="2:2" x14ac:dyDescent="0.25">
      <c r="B7" s="278" t="s">
        <v>569</v>
      </c>
    </row>
    <row r="8" spans="2:2" x14ac:dyDescent="0.25">
      <c r="B8" s="278" t="s">
        <v>570</v>
      </c>
    </row>
    <row r="9" spans="2:2" x14ac:dyDescent="0.25">
      <c r="B9" s="278" t="s">
        <v>571</v>
      </c>
    </row>
    <row r="10" spans="2:2" x14ac:dyDescent="0.25">
      <c r="B10" s="278" t="s">
        <v>572</v>
      </c>
    </row>
    <row r="11" spans="2:2" x14ac:dyDescent="0.25">
      <c r="B11" s="278" t="s">
        <v>28</v>
      </c>
    </row>
    <row r="12" spans="2:2" x14ac:dyDescent="0.25">
      <c r="B12" s="278" t="s">
        <v>573</v>
      </c>
    </row>
    <row r="13" spans="2:2" x14ac:dyDescent="0.25">
      <c r="B13" s="278" t="s">
        <v>574</v>
      </c>
    </row>
    <row r="22" spans="2:2" x14ac:dyDescent="0.25">
      <c r="B22" s="280">
        <f>IFERROR(1+1,"que guety")</f>
        <v>2</v>
      </c>
    </row>
  </sheetData>
  <conditionalFormatting sqref="A1">
    <cfRule type="expression" dxfId="19" priority="1" stopIfTrue="1">
      <formula>AND(A1&lt;&gt;"",A1=TRUE)</formula>
    </cfRule>
    <cfRule type="expression" dxfId="18" priority="2" stopIfTrue="1">
      <formula>AND(A1&lt;&gt;"",A1=FALSE)</formula>
    </cfRule>
  </conditionalFormatting>
  <conditionalFormatting sqref="B22">
    <cfRule type="expression" dxfId="17" priority="3" stopIfTrue="1">
      <formula>AND(B22&lt;&gt;"",B22=TRUE)</formula>
    </cfRule>
    <cfRule type="expression" dxfId="16" priority="4" stopIfTrue="1">
      <formula>AND(B22&lt;&gt;"",B22=FALSE)</formula>
    </cfRule>
  </conditionalFormatting>
  <hyperlinks>
    <hyperlink ref="B5" location="'PARTIDA 3 EDIFICIOS PUBLICOS '!R1C1" display="'PARTIDA 3 EDIFICIOS PUBLICOS '!R1C1" xr:uid="{00000000-0004-0000-0200-000000000000}"/>
    <hyperlink ref="B6" location="'GES PROPIOS'!R1C1" display="'GES PROPIOS'!R1C1" xr:uid="{00000000-0004-0000-0200-000001000000}"/>
    <hyperlink ref="B7" location="'GES ARRENDADOS'!R1C1" display="'GES ARRENDADOS'!R1C1" xr:uid="{00000000-0004-0000-0200-000002000000}"/>
    <hyperlink ref="B8" location="'RESUMEN 1'!R1C1" display="'RESUMEN 1'!R1C1" xr:uid="{00000000-0004-0000-0200-000003000000}"/>
    <hyperlink ref="B9" location="'RESUMEN 2'!R1C1" display="'RESUMEN 2'!R1C1" xr:uid="{00000000-0004-0000-0200-000004000000}"/>
    <hyperlink ref="B10" location="'RESUMEN2'!R1C1" display="'RESUMEN2'!R1C1" xr:uid="{00000000-0004-0000-0200-000005000000}"/>
    <hyperlink ref="B11" location="'FISCALIA'!R1C1" display="'FISCALIA'!R1C1" xr:uid="{00000000-0004-0000-0200-000006000000}"/>
    <hyperlink ref="B12" location="'Propios 2022'!R1C1" display="'Propios 2022'!R1C1" xr:uid="{00000000-0004-0000-0200-000007000000}"/>
    <hyperlink ref="B13" location="'Arrendados 2022'!R1C1" display="'Arrendados 2022'!R1C1" xr:uid="{00000000-0004-0000-0200-000008000000}"/>
  </hyperlinks>
  <pageMargins left="0.7" right="0.7" top="0.75" bottom="0.75" header="0.3" footer="0.3"/>
  <pageSetup orientation="portrait" horizontalDpi="1440" verticalDpi="1440" copies="0" r:id="rId1"/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FF0000"/>
    <pageSetUpPr fitToPage="1"/>
  </sheetPr>
  <dimension ref="B1:U59"/>
  <sheetViews>
    <sheetView showGridLines="0" showRowColHeaders="0" zoomScaleNormal="100" workbookViewId="0">
      <pane ySplit="5" topLeftCell="A39" activePane="bottomLeft" state="frozen"/>
      <selection pane="bottomLeft" activeCell="A6" sqref="A6"/>
    </sheetView>
  </sheetViews>
  <sheetFormatPr baseColWidth="10" defaultColWidth="11.42578125" defaultRowHeight="12.75" x14ac:dyDescent="0.25"/>
  <cols>
    <col min="1" max="1" width="2.28515625" style="44" customWidth="1"/>
    <col min="2" max="2" width="5" style="41" customWidth="1"/>
    <col min="3" max="3" width="10.140625" style="42" customWidth="1"/>
    <col min="4" max="4" width="16.42578125" style="42" customWidth="1"/>
    <col min="5" max="5" width="63" style="43" customWidth="1"/>
    <col min="6" max="6" width="45.7109375" style="42" customWidth="1"/>
    <col min="7" max="7" width="8.5703125" style="41" customWidth="1"/>
    <col min="8" max="8" width="18" style="42" customWidth="1"/>
    <col min="9" max="9" width="15.5703125" style="44" customWidth="1"/>
    <col min="10" max="10" width="14.42578125" style="45" customWidth="1"/>
    <col min="11" max="11" width="17.140625" style="45" customWidth="1"/>
    <col min="12" max="12" width="13.42578125" style="44" customWidth="1"/>
    <col min="13" max="13" width="14.7109375" style="44" customWidth="1"/>
    <col min="14" max="14" width="13.5703125" style="44" customWidth="1"/>
    <col min="15" max="15" width="15.85546875" style="44" customWidth="1"/>
    <col min="16" max="16" width="13" style="44" customWidth="1"/>
    <col min="17" max="17" width="12.28515625" style="44" customWidth="1"/>
    <col min="18" max="18" width="11.140625" style="44" customWidth="1"/>
    <col min="19" max="19" width="14.28515625" style="44" customWidth="1"/>
    <col min="20" max="20" width="14.140625" style="44" customWidth="1"/>
    <col min="21" max="21" width="17.140625" style="44" customWidth="1"/>
    <col min="22" max="16384" width="11.42578125" style="44"/>
  </cols>
  <sheetData>
    <row r="1" spans="2:21" ht="15.75" customHeight="1" x14ac:dyDescent="0.25"/>
    <row r="2" spans="2:21" ht="22.5" customHeight="1" x14ac:dyDescent="0.4">
      <c r="B2" s="623" t="s">
        <v>721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</row>
    <row r="3" spans="2:21" ht="27.75" customHeight="1" x14ac:dyDescent="0.25">
      <c r="C3" s="378" t="s">
        <v>592</v>
      </c>
    </row>
    <row r="4" spans="2:21" s="1" customFormat="1" ht="43.5" customHeight="1" x14ac:dyDescent="0.25">
      <c r="B4" s="384" t="s">
        <v>198</v>
      </c>
      <c r="C4" s="384" t="s">
        <v>36</v>
      </c>
      <c r="D4" s="384" t="s">
        <v>53</v>
      </c>
      <c r="E4" s="384" t="s">
        <v>37</v>
      </c>
      <c r="F4" s="384" t="s">
        <v>38</v>
      </c>
      <c r="G4" s="533" t="s">
        <v>95</v>
      </c>
      <c r="H4" s="532" t="s">
        <v>39</v>
      </c>
      <c r="I4" s="566" t="s">
        <v>581</v>
      </c>
      <c r="J4" s="567" t="s">
        <v>114</v>
      </c>
      <c r="K4" s="567" t="s">
        <v>488</v>
      </c>
      <c r="L4" s="565" t="s">
        <v>518</v>
      </c>
      <c r="M4" s="565" t="s">
        <v>527</v>
      </c>
      <c r="N4" s="385" t="s">
        <v>528</v>
      </c>
      <c r="O4" s="385" t="s">
        <v>524</v>
      </c>
      <c r="P4" s="385" t="s">
        <v>529</v>
      </c>
      <c r="Q4" s="385" t="s">
        <v>530</v>
      </c>
      <c r="R4" s="385" t="s">
        <v>483</v>
      </c>
      <c r="S4" s="385" t="s">
        <v>531</v>
      </c>
      <c r="T4" s="385" t="s">
        <v>532</v>
      </c>
    </row>
    <row r="5" spans="2:21" s="270" customFormat="1" ht="15.75" x14ac:dyDescent="0.25">
      <c r="B5" s="414"/>
      <c r="C5" s="415"/>
      <c r="D5" s="415"/>
      <c r="E5" s="416"/>
      <c r="F5" s="417" t="s">
        <v>521</v>
      </c>
      <c r="G5" s="418"/>
      <c r="H5" s="419"/>
      <c r="I5" s="420"/>
      <c r="J5" s="421"/>
      <c r="K5" s="421"/>
      <c r="L5" s="422">
        <v>20000000</v>
      </c>
      <c r="M5" s="423">
        <f>(I5+J5)*5%</f>
        <v>0</v>
      </c>
      <c r="N5" s="424">
        <v>50000000</v>
      </c>
      <c r="O5" s="425">
        <v>20000000</v>
      </c>
      <c r="P5" s="422">
        <v>1500000</v>
      </c>
      <c r="Q5" s="422">
        <v>500000</v>
      </c>
      <c r="R5" s="422">
        <v>500000</v>
      </c>
      <c r="S5" s="426"/>
      <c r="T5" s="426"/>
      <c r="U5" s="272"/>
    </row>
    <row r="6" spans="2:21" s="1" customFormat="1" ht="18.75" thickBot="1" x14ac:dyDescent="0.3">
      <c r="B6" s="411"/>
      <c r="C6" s="526" t="s">
        <v>593</v>
      </c>
      <c r="D6" s="412"/>
      <c r="E6" s="568" t="s">
        <v>519</v>
      </c>
      <c r="F6" s="411"/>
      <c r="G6" s="411"/>
      <c r="H6" s="411"/>
      <c r="I6" s="175"/>
      <c r="J6" s="413"/>
      <c r="K6" s="413"/>
      <c r="L6" s="271"/>
      <c r="M6" s="271"/>
      <c r="N6" s="271"/>
      <c r="O6" s="271"/>
      <c r="P6" s="271"/>
      <c r="Q6" s="271"/>
      <c r="R6" s="271"/>
      <c r="S6" s="271"/>
      <c r="T6" s="271"/>
    </row>
    <row r="7" spans="2:21" ht="15.75" customHeight="1" x14ac:dyDescent="0.25">
      <c r="B7" s="447">
        <v>1</v>
      </c>
      <c r="C7" s="448" t="s">
        <v>55</v>
      </c>
      <c r="D7" s="448" t="s">
        <v>31</v>
      </c>
      <c r="E7" s="449" t="s">
        <v>8</v>
      </c>
      <c r="F7" s="448" t="s">
        <v>70</v>
      </c>
      <c r="G7" s="447">
        <v>80140</v>
      </c>
      <c r="H7" s="448" t="s">
        <v>40</v>
      </c>
      <c r="I7" s="536">
        <v>7673499</v>
      </c>
      <c r="J7" s="537">
        <v>5000000</v>
      </c>
      <c r="K7" s="538">
        <f>+I7+J7</f>
        <v>12673499</v>
      </c>
      <c r="L7" s="450" t="s">
        <v>124</v>
      </c>
      <c r="M7" s="537">
        <f>(I7+J7)*5%</f>
        <v>633674.95000000007</v>
      </c>
      <c r="N7" s="450" t="s">
        <v>124</v>
      </c>
      <c r="O7" s="451"/>
      <c r="P7" s="450" t="s">
        <v>124</v>
      </c>
      <c r="Q7" s="450" t="s">
        <v>124</v>
      </c>
      <c r="R7" s="450" t="s">
        <v>124</v>
      </c>
      <c r="S7" s="451"/>
      <c r="T7" s="451"/>
    </row>
    <row r="8" spans="2:21" ht="15.75" customHeight="1" x14ac:dyDescent="0.25">
      <c r="B8" s="427">
        <v>2</v>
      </c>
      <c r="C8" s="428" t="s">
        <v>55</v>
      </c>
      <c r="D8" s="428" t="s">
        <v>31</v>
      </c>
      <c r="E8" s="429" t="s">
        <v>9</v>
      </c>
      <c r="F8" s="428" t="s">
        <v>71</v>
      </c>
      <c r="G8" s="427">
        <v>80363</v>
      </c>
      <c r="H8" s="428" t="s">
        <v>52</v>
      </c>
      <c r="I8" s="539">
        <v>4070298.8564059003</v>
      </c>
      <c r="J8" s="540">
        <f t="shared" ref="J8:J42" si="0">I8*0.235649</f>
        <v>959161.85521319404</v>
      </c>
      <c r="K8" s="541">
        <f t="shared" ref="K8:K42" si="1">+I8+J8</f>
        <v>5029460.711619094</v>
      </c>
      <c r="L8" s="430" t="s">
        <v>124</v>
      </c>
      <c r="M8" s="540">
        <f>(I8+J8)*5%</f>
        <v>251473.03558095472</v>
      </c>
      <c r="N8" s="430" t="s">
        <v>124</v>
      </c>
      <c r="O8" s="431"/>
      <c r="P8" s="430" t="s">
        <v>124</v>
      </c>
      <c r="Q8" s="430" t="s">
        <v>124</v>
      </c>
      <c r="R8" s="430" t="s">
        <v>124</v>
      </c>
      <c r="S8" s="431"/>
      <c r="T8" s="431"/>
    </row>
    <row r="9" spans="2:21" ht="15.75" customHeight="1" x14ac:dyDescent="0.25">
      <c r="B9" s="432">
        <v>3</v>
      </c>
      <c r="C9" s="433" t="s">
        <v>55</v>
      </c>
      <c r="D9" s="433" t="s">
        <v>31</v>
      </c>
      <c r="E9" s="433" t="s">
        <v>105</v>
      </c>
      <c r="F9" s="433" t="s">
        <v>106</v>
      </c>
      <c r="G9" s="432">
        <v>80054</v>
      </c>
      <c r="H9" s="433" t="s">
        <v>40</v>
      </c>
      <c r="I9" s="542">
        <v>80984932.799999997</v>
      </c>
      <c r="J9" s="540">
        <f t="shared" si="0"/>
        <v>19084018.429387201</v>
      </c>
      <c r="K9" s="541">
        <f t="shared" si="1"/>
        <v>100068951.22938719</v>
      </c>
      <c r="L9" s="430" t="s">
        <v>124</v>
      </c>
      <c r="M9" s="540">
        <f t="shared" ref="M9:M42" si="2">(I9+J9)*5%</f>
        <v>5003447.5614693603</v>
      </c>
      <c r="N9" s="430" t="s">
        <v>124</v>
      </c>
      <c r="O9" s="431"/>
      <c r="P9" s="430" t="s">
        <v>124</v>
      </c>
      <c r="Q9" s="430" t="s">
        <v>124</v>
      </c>
      <c r="R9" s="430" t="s">
        <v>124</v>
      </c>
      <c r="S9" s="431"/>
      <c r="T9" s="431"/>
    </row>
    <row r="10" spans="2:21" ht="15.75" customHeight="1" x14ac:dyDescent="0.25">
      <c r="B10" s="427">
        <v>4</v>
      </c>
      <c r="C10" s="428" t="s">
        <v>55</v>
      </c>
      <c r="D10" s="428" t="s">
        <v>31</v>
      </c>
      <c r="E10" s="429" t="s">
        <v>6</v>
      </c>
      <c r="F10" s="428" t="s">
        <v>65</v>
      </c>
      <c r="G10" s="427">
        <v>80129</v>
      </c>
      <c r="H10" s="428" t="s">
        <v>40</v>
      </c>
      <c r="I10" s="539">
        <v>9164696.4000000004</v>
      </c>
      <c r="J10" s="540">
        <f t="shared" si="0"/>
        <v>2159651.5419636001</v>
      </c>
      <c r="K10" s="541">
        <f t="shared" si="1"/>
        <v>11324347.9419636</v>
      </c>
      <c r="L10" s="430" t="s">
        <v>124</v>
      </c>
      <c r="M10" s="540">
        <f t="shared" si="2"/>
        <v>566217.39709818002</v>
      </c>
      <c r="N10" s="430" t="s">
        <v>124</v>
      </c>
      <c r="O10" s="431"/>
      <c r="P10" s="430" t="s">
        <v>124</v>
      </c>
      <c r="Q10" s="430" t="s">
        <v>124</v>
      </c>
      <c r="R10" s="430" t="s">
        <v>124</v>
      </c>
      <c r="S10" s="431"/>
      <c r="T10" s="431"/>
    </row>
    <row r="11" spans="2:21" s="2" customFormat="1" ht="15.75" customHeight="1" x14ac:dyDescent="0.2">
      <c r="B11" s="427">
        <v>5</v>
      </c>
      <c r="C11" s="434" t="s">
        <v>55</v>
      </c>
      <c r="D11" s="434" t="s">
        <v>32</v>
      </c>
      <c r="E11" s="433" t="s">
        <v>54</v>
      </c>
      <c r="F11" s="434" t="s">
        <v>63</v>
      </c>
      <c r="G11" s="435">
        <v>80130</v>
      </c>
      <c r="H11" s="434" t="s">
        <v>40</v>
      </c>
      <c r="I11" s="539">
        <v>75110455.200000003</v>
      </c>
      <c r="J11" s="540">
        <f t="shared" si="0"/>
        <v>17699703.6574248</v>
      </c>
      <c r="K11" s="541">
        <f t="shared" si="1"/>
        <v>92810158.857424796</v>
      </c>
      <c r="L11" s="430" t="s">
        <v>124</v>
      </c>
      <c r="M11" s="540">
        <f t="shared" si="2"/>
        <v>4640507.94287124</v>
      </c>
      <c r="N11" s="430" t="s">
        <v>124</v>
      </c>
      <c r="O11" s="431"/>
      <c r="P11" s="430" t="s">
        <v>124</v>
      </c>
      <c r="Q11" s="430" t="s">
        <v>124</v>
      </c>
      <c r="R11" s="430" t="s">
        <v>124</v>
      </c>
      <c r="S11" s="431"/>
      <c r="T11" s="431"/>
    </row>
    <row r="12" spans="2:21" ht="15.75" customHeight="1" x14ac:dyDescent="0.25">
      <c r="B12" s="432">
        <v>6</v>
      </c>
      <c r="C12" s="428" t="s">
        <v>55</v>
      </c>
      <c r="D12" s="428" t="s">
        <v>32</v>
      </c>
      <c r="E12" s="436" t="s">
        <v>30</v>
      </c>
      <c r="F12" s="428" t="s">
        <v>66</v>
      </c>
      <c r="G12" s="427">
        <v>80000</v>
      </c>
      <c r="H12" s="428" t="s">
        <v>40</v>
      </c>
      <c r="I12" s="539">
        <v>4748344.2</v>
      </c>
      <c r="J12" s="540">
        <f t="shared" si="0"/>
        <v>1118942.5623858001</v>
      </c>
      <c r="K12" s="541">
        <f t="shared" si="1"/>
        <v>5867286.7623858005</v>
      </c>
      <c r="L12" s="430" t="s">
        <v>124</v>
      </c>
      <c r="M12" s="540">
        <f t="shared" si="2"/>
        <v>293364.33811929001</v>
      </c>
      <c r="N12" s="430" t="s">
        <v>124</v>
      </c>
      <c r="O12" s="431"/>
      <c r="P12" s="430" t="s">
        <v>124</v>
      </c>
      <c r="Q12" s="430" t="s">
        <v>124</v>
      </c>
      <c r="R12" s="430" t="s">
        <v>124</v>
      </c>
      <c r="S12" s="431"/>
      <c r="T12" s="431"/>
    </row>
    <row r="13" spans="2:21" s="2" customFormat="1" ht="25.5" customHeight="1" x14ac:dyDescent="0.25">
      <c r="B13" s="427">
        <v>7</v>
      </c>
      <c r="C13" s="434" t="s">
        <v>55</v>
      </c>
      <c r="D13" s="434" t="s">
        <v>32</v>
      </c>
      <c r="E13" s="433" t="s">
        <v>611</v>
      </c>
      <c r="F13" s="433" t="s">
        <v>64</v>
      </c>
      <c r="G13" s="432">
        <v>80130</v>
      </c>
      <c r="H13" s="433" t="s">
        <v>40</v>
      </c>
      <c r="I13" s="543">
        <v>22096946.314080004</v>
      </c>
      <c r="J13" s="544">
        <f t="shared" si="0"/>
        <v>5207123.3019666383</v>
      </c>
      <c r="K13" s="545">
        <f t="shared" si="1"/>
        <v>27304069.616046641</v>
      </c>
      <c r="L13" s="437" t="s">
        <v>124</v>
      </c>
      <c r="M13" s="544">
        <f t="shared" si="2"/>
        <v>1365203.4808023321</v>
      </c>
      <c r="N13" s="438" t="s">
        <v>124</v>
      </c>
      <c r="O13" s="439"/>
      <c r="P13" s="440" t="s">
        <v>124</v>
      </c>
      <c r="Q13" s="440" t="s">
        <v>124</v>
      </c>
      <c r="R13" s="440" t="s">
        <v>124</v>
      </c>
      <c r="S13" s="434"/>
      <c r="T13" s="434"/>
    </row>
    <row r="14" spans="2:21" ht="15" customHeight="1" x14ac:dyDescent="0.25">
      <c r="B14" s="427">
        <v>8</v>
      </c>
      <c r="C14" s="428" t="s">
        <v>55</v>
      </c>
      <c r="D14" s="428" t="s">
        <v>32</v>
      </c>
      <c r="E14" s="429" t="s">
        <v>86</v>
      </c>
      <c r="F14" s="441" t="s">
        <v>69</v>
      </c>
      <c r="G14" s="442">
        <v>80308</v>
      </c>
      <c r="H14" s="441" t="s">
        <v>40</v>
      </c>
      <c r="I14" s="539">
        <v>108894330</v>
      </c>
      <c r="J14" s="540">
        <f t="shared" si="0"/>
        <v>25660839.970169999</v>
      </c>
      <c r="K14" s="541">
        <f t="shared" si="1"/>
        <v>134555169.97016999</v>
      </c>
      <c r="L14" s="430" t="s">
        <v>124</v>
      </c>
      <c r="M14" s="540">
        <f t="shared" si="2"/>
        <v>6727758.4985084999</v>
      </c>
      <c r="N14" s="443" t="s">
        <v>124</v>
      </c>
      <c r="O14" s="444"/>
      <c r="P14" s="430" t="s">
        <v>124</v>
      </c>
      <c r="Q14" s="430" t="s">
        <v>124</v>
      </c>
      <c r="R14" s="430" t="s">
        <v>124</v>
      </c>
      <c r="S14" s="431"/>
      <c r="T14" s="431"/>
    </row>
    <row r="15" spans="2:21" ht="15" customHeight="1" x14ac:dyDescent="0.25">
      <c r="B15" s="432">
        <v>9</v>
      </c>
      <c r="C15" s="428" t="s">
        <v>55</v>
      </c>
      <c r="D15" s="428" t="s">
        <v>32</v>
      </c>
      <c r="E15" s="429" t="s">
        <v>87</v>
      </c>
      <c r="F15" s="441"/>
      <c r="G15" s="442">
        <v>82089</v>
      </c>
      <c r="H15" s="441" t="s">
        <v>41</v>
      </c>
      <c r="I15" s="539">
        <v>108894330</v>
      </c>
      <c r="J15" s="540">
        <f t="shared" si="0"/>
        <v>25660839.970169999</v>
      </c>
      <c r="K15" s="541">
        <f t="shared" si="1"/>
        <v>134555169.97016999</v>
      </c>
      <c r="L15" s="430" t="s">
        <v>124</v>
      </c>
      <c r="M15" s="540">
        <f t="shared" si="2"/>
        <v>6727758.4985084999</v>
      </c>
      <c r="N15" s="443" t="s">
        <v>124</v>
      </c>
      <c r="O15" s="445"/>
      <c r="P15" s="430" t="s">
        <v>124</v>
      </c>
      <c r="Q15" s="430" t="s">
        <v>124</v>
      </c>
      <c r="R15" s="430" t="s">
        <v>124</v>
      </c>
      <c r="S15" s="540">
        <v>30000000</v>
      </c>
      <c r="T15" s="431"/>
    </row>
    <row r="16" spans="2:21" ht="15" customHeight="1" x14ac:dyDescent="0.25">
      <c r="B16" s="427">
        <v>10</v>
      </c>
      <c r="C16" s="428" t="s">
        <v>55</v>
      </c>
      <c r="D16" s="428" t="s">
        <v>32</v>
      </c>
      <c r="E16" s="429" t="s">
        <v>90</v>
      </c>
      <c r="F16" s="441"/>
      <c r="G16" s="442">
        <v>81306</v>
      </c>
      <c r="H16" s="441" t="s">
        <v>34</v>
      </c>
      <c r="I16" s="539">
        <v>108894330</v>
      </c>
      <c r="J16" s="540">
        <f t="shared" si="0"/>
        <v>25660839.970169999</v>
      </c>
      <c r="K16" s="541">
        <f t="shared" si="1"/>
        <v>134555169.97016999</v>
      </c>
      <c r="L16" s="430" t="s">
        <v>124</v>
      </c>
      <c r="M16" s="540">
        <f t="shared" si="2"/>
        <v>6727758.4985084999</v>
      </c>
      <c r="N16" s="443" t="s">
        <v>124</v>
      </c>
      <c r="O16" s="445"/>
      <c r="P16" s="430" t="s">
        <v>124</v>
      </c>
      <c r="Q16" s="430" t="s">
        <v>124</v>
      </c>
      <c r="R16" s="430" t="s">
        <v>124</v>
      </c>
      <c r="S16" s="540">
        <v>30000000</v>
      </c>
      <c r="T16" s="431"/>
    </row>
    <row r="17" spans="2:20" ht="15" customHeight="1" x14ac:dyDescent="0.25">
      <c r="B17" s="427">
        <v>11</v>
      </c>
      <c r="C17" s="428" t="s">
        <v>55</v>
      </c>
      <c r="D17" s="428" t="s">
        <v>32</v>
      </c>
      <c r="E17" s="429" t="s">
        <v>94</v>
      </c>
      <c r="F17" s="441"/>
      <c r="G17" s="427">
        <v>81664</v>
      </c>
      <c r="H17" s="441" t="s">
        <v>35</v>
      </c>
      <c r="I17" s="539">
        <v>108894330</v>
      </c>
      <c r="J17" s="540">
        <f t="shared" si="0"/>
        <v>25660839.970169999</v>
      </c>
      <c r="K17" s="541">
        <f t="shared" si="1"/>
        <v>134555169.97016999</v>
      </c>
      <c r="L17" s="430" t="s">
        <v>124</v>
      </c>
      <c r="M17" s="540">
        <f t="shared" si="2"/>
        <v>6727758.4985084999</v>
      </c>
      <c r="N17" s="443" t="s">
        <v>124</v>
      </c>
      <c r="O17" s="445"/>
      <c r="P17" s="430" t="s">
        <v>124</v>
      </c>
      <c r="Q17" s="430" t="s">
        <v>124</v>
      </c>
      <c r="R17" s="430" t="s">
        <v>124</v>
      </c>
      <c r="S17" s="540">
        <v>30000000</v>
      </c>
      <c r="T17" s="431"/>
    </row>
    <row r="18" spans="2:20" ht="15" customHeight="1" x14ac:dyDescent="0.25">
      <c r="B18" s="432">
        <v>12</v>
      </c>
      <c r="C18" s="428" t="s">
        <v>55</v>
      </c>
      <c r="D18" s="428" t="s">
        <v>32</v>
      </c>
      <c r="E18" s="429" t="s">
        <v>91</v>
      </c>
      <c r="F18" s="441" t="s">
        <v>69</v>
      </c>
      <c r="G18" s="442">
        <v>80130</v>
      </c>
      <c r="H18" s="441" t="s">
        <v>5</v>
      </c>
      <c r="I18" s="539">
        <v>11184431</v>
      </c>
      <c r="J18" s="540">
        <f t="shared" si="0"/>
        <v>2635599.9807190001</v>
      </c>
      <c r="K18" s="541">
        <f t="shared" si="1"/>
        <v>13820030.980719</v>
      </c>
      <c r="L18" s="430" t="s">
        <v>124</v>
      </c>
      <c r="M18" s="540">
        <f t="shared" si="2"/>
        <v>691001.5490359501</v>
      </c>
      <c r="N18" s="443" t="s">
        <v>124</v>
      </c>
      <c r="O18" s="445"/>
      <c r="P18" s="430" t="s">
        <v>124</v>
      </c>
      <c r="Q18" s="430" t="s">
        <v>124</v>
      </c>
      <c r="R18" s="430" t="s">
        <v>124</v>
      </c>
      <c r="S18" s="431"/>
      <c r="T18" s="431"/>
    </row>
    <row r="19" spans="2:20" ht="15" customHeight="1" x14ac:dyDescent="0.25">
      <c r="B19" s="427">
        <v>13</v>
      </c>
      <c r="C19" s="428" t="s">
        <v>55</v>
      </c>
      <c r="D19" s="428" t="s">
        <v>33</v>
      </c>
      <c r="E19" s="429" t="s">
        <v>18</v>
      </c>
      <c r="F19" s="441" t="s">
        <v>80</v>
      </c>
      <c r="G19" s="442">
        <v>81600</v>
      </c>
      <c r="H19" s="441" t="s">
        <v>35</v>
      </c>
      <c r="I19" s="539">
        <v>5772020.80688</v>
      </c>
      <c r="J19" s="540">
        <f t="shared" si="0"/>
        <v>1360170.931120465</v>
      </c>
      <c r="K19" s="541">
        <f t="shared" si="1"/>
        <v>7132191.7380004656</v>
      </c>
      <c r="L19" s="430" t="s">
        <v>124</v>
      </c>
      <c r="M19" s="540">
        <f t="shared" si="2"/>
        <v>356609.58690002328</v>
      </c>
      <c r="N19" s="443" t="s">
        <v>124</v>
      </c>
      <c r="O19" s="445"/>
      <c r="P19" s="430" t="s">
        <v>124</v>
      </c>
      <c r="Q19" s="430" t="s">
        <v>124</v>
      </c>
      <c r="R19" s="430" t="s">
        <v>124</v>
      </c>
      <c r="S19" s="431"/>
      <c r="T19" s="431"/>
    </row>
    <row r="20" spans="2:20" ht="15" customHeight="1" x14ac:dyDescent="0.25">
      <c r="B20" s="427">
        <v>14</v>
      </c>
      <c r="C20" s="428" t="s">
        <v>55</v>
      </c>
      <c r="D20" s="428" t="s">
        <v>33</v>
      </c>
      <c r="E20" s="429" t="s">
        <v>7</v>
      </c>
      <c r="F20" s="441" t="s">
        <v>68</v>
      </c>
      <c r="G20" s="442">
        <v>80450</v>
      </c>
      <c r="H20" s="441" t="s">
        <v>42</v>
      </c>
      <c r="I20" s="539">
        <v>1017865</v>
      </c>
      <c r="J20" s="540">
        <f t="shared" si="0"/>
        <v>239858.869385</v>
      </c>
      <c r="K20" s="541">
        <f t="shared" si="1"/>
        <v>1257723.8693850001</v>
      </c>
      <c r="L20" s="430" t="s">
        <v>124</v>
      </c>
      <c r="M20" s="540">
        <f t="shared" si="2"/>
        <v>62886.193469250007</v>
      </c>
      <c r="N20" s="443" t="s">
        <v>124</v>
      </c>
      <c r="O20" s="445"/>
      <c r="P20" s="430" t="s">
        <v>124</v>
      </c>
      <c r="Q20" s="430" t="s">
        <v>124</v>
      </c>
      <c r="R20" s="430" t="s">
        <v>124</v>
      </c>
      <c r="S20" s="431"/>
      <c r="T20" s="431"/>
    </row>
    <row r="21" spans="2:20" ht="15" customHeight="1" x14ac:dyDescent="0.25">
      <c r="B21" s="432">
        <v>15</v>
      </c>
      <c r="C21" s="428" t="s">
        <v>55</v>
      </c>
      <c r="D21" s="428" t="s">
        <v>33</v>
      </c>
      <c r="E21" s="429" t="s">
        <v>13</v>
      </c>
      <c r="F21" s="441" t="s">
        <v>82</v>
      </c>
      <c r="G21" s="442">
        <v>82700</v>
      </c>
      <c r="H21" s="441" t="s">
        <v>261</v>
      </c>
      <c r="I21" s="539">
        <v>4967425</v>
      </c>
      <c r="J21" s="540">
        <f t="shared" si="0"/>
        <v>1170568.733825</v>
      </c>
      <c r="K21" s="541">
        <f t="shared" si="1"/>
        <v>6137993.733825</v>
      </c>
      <c r="L21" s="430" t="s">
        <v>124</v>
      </c>
      <c r="M21" s="540">
        <f t="shared" si="2"/>
        <v>306899.68669125001</v>
      </c>
      <c r="N21" s="443" t="s">
        <v>124</v>
      </c>
      <c r="O21" s="445"/>
      <c r="P21" s="430" t="s">
        <v>124</v>
      </c>
      <c r="Q21" s="430" t="s">
        <v>124</v>
      </c>
      <c r="R21" s="430" t="s">
        <v>124</v>
      </c>
      <c r="S21" s="431"/>
      <c r="T21" s="431"/>
    </row>
    <row r="22" spans="2:20" ht="15" customHeight="1" x14ac:dyDescent="0.25">
      <c r="B22" s="427">
        <v>16</v>
      </c>
      <c r="C22" s="428" t="s">
        <v>55</v>
      </c>
      <c r="D22" s="428" t="s">
        <v>33</v>
      </c>
      <c r="E22" s="429" t="s">
        <v>27</v>
      </c>
      <c r="F22" s="441" t="s">
        <v>81</v>
      </c>
      <c r="G22" s="442">
        <v>80500</v>
      </c>
      <c r="H22" s="441" t="s">
        <v>12</v>
      </c>
      <c r="I22" s="539">
        <v>3490209</v>
      </c>
      <c r="J22" s="540">
        <f t="shared" si="0"/>
        <v>822464.260641</v>
      </c>
      <c r="K22" s="541">
        <f t="shared" si="1"/>
        <v>4312673.2606410002</v>
      </c>
      <c r="L22" s="430" t="s">
        <v>124</v>
      </c>
      <c r="M22" s="540">
        <f t="shared" si="2"/>
        <v>215633.66303205001</v>
      </c>
      <c r="N22" s="443" t="s">
        <v>124</v>
      </c>
      <c r="O22" s="445"/>
      <c r="P22" s="430" t="s">
        <v>124</v>
      </c>
      <c r="Q22" s="430" t="s">
        <v>124</v>
      </c>
      <c r="R22" s="430" t="s">
        <v>124</v>
      </c>
      <c r="S22" s="431"/>
      <c r="T22" s="431"/>
    </row>
    <row r="23" spans="2:20" ht="15" customHeight="1" x14ac:dyDescent="0.25">
      <c r="B23" s="427">
        <v>17</v>
      </c>
      <c r="C23" s="428" t="s">
        <v>55</v>
      </c>
      <c r="D23" s="428" t="s">
        <v>33</v>
      </c>
      <c r="E23" s="429" t="s">
        <v>23</v>
      </c>
      <c r="F23" s="441" t="s">
        <v>57</v>
      </c>
      <c r="G23" s="442">
        <v>81700</v>
      </c>
      <c r="H23" s="441" t="s">
        <v>44</v>
      </c>
      <c r="I23" s="539">
        <v>3100500</v>
      </c>
      <c r="J23" s="540">
        <f t="shared" si="0"/>
        <v>730629.72450000001</v>
      </c>
      <c r="K23" s="541">
        <f t="shared" si="1"/>
        <v>3831129.7245</v>
      </c>
      <c r="L23" s="430" t="s">
        <v>124</v>
      </c>
      <c r="M23" s="540">
        <f t="shared" si="2"/>
        <v>191556.486225</v>
      </c>
      <c r="N23" s="443" t="s">
        <v>124</v>
      </c>
      <c r="O23" s="445"/>
      <c r="P23" s="430" t="s">
        <v>124</v>
      </c>
      <c r="Q23" s="430" t="s">
        <v>124</v>
      </c>
      <c r="R23" s="430" t="s">
        <v>124</v>
      </c>
      <c r="S23" s="431"/>
      <c r="T23" s="431"/>
    </row>
    <row r="24" spans="2:20" ht="15" customHeight="1" x14ac:dyDescent="0.25">
      <c r="B24" s="432">
        <v>18</v>
      </c>
      <c r="C24" s="428" t="s">
        <v>55</v>
      </c>
      <c r="D24" s="428" t="s">
        <v>33</v>
      </c>
      <c r="E24" s="429" t="s">
        <v>21</v>
      </c>
      <c r="F24" s="441" t="s">
        <v>76</v>
      </c>
      <c r="G24" s="442">
        <v>82600</v>
      </c>
      <c r="H24" s="441" t="s">
        <v>45</v>
      </c>
      <c r="I24" s="539">
        <v>3360942</v>
      </c>
      <c r="J24" s="540">
        <f t="shared" si="0"/>
        <v>792002.62135799997</v>
      </c>
      <c r="K24" s="541">
        <f t="shared" si="1"/>
        <v>4152944.6213579997</v>
      </c>
      <c r="L24" s="430" t="s">
        <v>124</v>
      </c>
      <c r="M24" s="540">
        <f t="shared" si="2"/>
        <v>207647.23106789999</v>
      </c>
      <c r="N24" s="443" t="s">
        <v>124</v>
      </c>
      <c r="O24" s="445"/>
      <c r="P24" s="430" t="s">
        <v>124</v>
      </c>
      <c r="Q24" s="430" t="s">
        <v>124</v>
      </c>
      <c r="R24" s="430" t="s">
        <v>124</v>
      </c>
      <c r="S24" s="431"/>
      <c r="T24" s="431"/>
    </row>
    <row r="25" spans="2:20" ht="15" customHeight="1" x14ac:dyDescent="0.25">
      <c r="B25" s="427">
        <v>19</v>
      </c>
      <c r="C25" s="428" t="s">
        <v>55</v>
      </c>
      <c r="D25" s="428" t="s">
        <v>33</v>
      </c>
      <c r="E25" s="429" t="s">
        <v>14</v>
      </c>
      <c r="F25" s="441" t="s">
        <v>72</v>
      </c>
      <c r="G25" s="442">
        <v>80700</v>
      </c>
      <c r="H25" s="441" t="s">
        <v>46</v>
      </c>
      <c r="I25" s="539">
        <v>9256862.9626439996</v>
      </c>
      <c r="J25" s="540">
        <f t="shared" si="0"/>
        <v>2181370.5002840958</v>
      </c>
      <c r="K25" s="541">
        <f t="shared" si="1"/>
        <v>11438233.462928096</v>
      </c>
      <c r="L25" s="430" t="s">
        <v>124</v>
      </c>
      <c r="M25" s="540">
        <f t="shared" si="2"/>
        <v>571911.67314640479</v>
      </c>
      <c r="N25" s="443" t="s">
        <v>124</v>
      </c>
      <c r="O25" s="445"/>
      <c r="P25" s="430" t="s">
        <v>124</v>
      </c>
      <c r="Q25" s="430" t="s">
        <v>124</v>
      </c>
      <c r="R25" s="430" t="s">
        <v>124</v>
      </c>
      <c r="S25" s="431"/>
      <c r="T25" s="431"/>
    </row>
    <row r="26" spans="2:20" ht="15" customHeight="1" x14ac:dyDescent="0.25">
      <c r="B26" s="427">
        <v>20</v>
      </c>
      <c r="C26" s="428" t="s">
        <v>55</v>
      </c>
      <c r="D26" s="428" t="s">
        <v>33</v>
      </c>
      <c r="E26" s="429" t="s">
        <v>17</v>
      </c>
      <c r="F26" s="441" t="s">
        <v>67</v>
      </c>
      <c r="G26" s="442">
        <v>80000</v>
      </c>
      <c r="H26" s="441" t="s">
        <v>40</v>
      </c>
      <c r="I26" s="539">
        <v>575816044.49227679</v>
      </c>
      <c r="J26" s="540">
        <f t="shared" si="0"/>
        <v>135690475.06856054</v>
      </c>
      <c r="K26" s="541">
        <f t="shared" si="1"/>
        <v>711506519.56083727</v>
      </c>
      <c r="L26" s="430" t="s">
        <v>124</v>
      </c>
      <c r="M26" s="540">
        <f t="shared" si="2"/>
        <v>35575325.978041865</v>
      </c>
      <c r="N26" s="443" t="s">
        <v>124</v>
      </c>
      <c r="O26" s="445"/>
      <c r="P26" s="430" t="s">
        <v>124</v>
      </c>
      <c r="Q26" s="430" t="s">
        <v>124</v>
      </c>
      <c r="R26" s="430" t="s">
        <v>124</v>
      </c>
      <c r="S26" s="431"/>
      <c r="T26" s="446">
        <v>7839846</v>
      </c>
    </row>
    <row r="27" spans="2:20" ht="15" customHeight="1" x14ac:dyDescent="0.25">
      <c r="B27" s="432">
        <v>21</v>
      </c>
      <c r="C27" s="428" t="s">
        <v>55</v>
      </c>
      <c r="D27" s="428" t="s">
        <v>33</v>
      </c>
      <c r="E27" s="429" t="s">
        <v>25</v>
      </c>
      <c r="F27" s="441" t="s">
        <v>77</v>
      </c>
      <c r="G27" s="442">
        <v>82400</v>
      </c>
      <c r="H27" s="441" t="s">
        <v>11</v>
      </c>
      <c r="I27" s="539">
        <v>6457721.4000000004</v>
      </c>
      <c r="J27" s="540">
        <f t="shared" si="0"/>
        <v>1521755.5901886001</v>
      </c>
      <c r="K27" s="541">
        <f t="shared" si="1"/>
        <v>7979476.9901886005</v>
      </c>
      <c r="L27" s="430" t="s">
        <v>124</v>
      </c>
      <c r="M27" s="540">
        <f t="shared" si="2"/>
        <v>398973.84950943006</v>
      </c>
      <c r="N27" s="443" t="s">
        <v>124</v>
      </c>
      <c r="O27" s="445"/>
      <c r="P27" s="430" t="s">
        <v>124</v>
      </c>
      <c r="Q27" s="430" t="s">
        <v>124</v>
      </c>
      <c r="R27" s="430" t="s">
        <v>124</v>
      </c>
      <c r="S27" s="431"/>
      <c r="T27" s="431"/>
    </row>
    <row r="28" spans="2:20" ht="15" customHeight="1" x14ac:dyDescent="0.25">
      <c r="B28" s="427">
        <v>22</v>
      </c>
      <c r="C28" s="428" t="s">
        <v>55</v>
      </c>
      <c r="D28" s="428" t="s">
        <v>33</v>
      </c>
      <c r="E28" s="429" t="s">
        <v>19</v>
      </c>
      <c r="F28" s="441" t="s">
        <v>78</v>
      </c>
      <c r="G28" s="442">
        <v>82400</v>
      </c>
      <c r="H28" s="441" t="s">
        <v>47</v>
      </c>
      <c r="I28" s="539">
        <v>6071733</v>
      </c>
      <c r="J28" s="540">
        <f t="shared" si="0"/>
        <v>1430797.809717</v>
      </c>
      <c r="K28" s="541">
        <f t="shared" si="1"/>
        <v>7502530.8097169995</v>
      </c>
      <c r="L28" s="430" t="s">
        <v>124</v>
      </c>
      <c r="M28" s="540">
        <f t="shared" si="2"/>
        <v>375126.54048585001</v>
      </c>
      <c r="N28" s="443" t="s">
        <v>124</v>
      </c>
      <c r="O28" s="445"/>
      <c r="P28" s="430" t="s">
        <v>124</v>
      </c>
      <c r="Q28" s="430" t="s">
        <v>124</v>
      </c>
      <c r="R28" s="430" t="s">
        <v>124</v>
      </c>
      <c r="S28" s="431"/>
      <c r="T28" s="431"/>
    </row>
    <row r="29" spans="2:20" ht="15" customHeight="1" x14ac:dyDescent="0.25">
      <c r="B29" s="427">
        <v>23</v>
      </c>
      <c r="C29" s="428" t="s">
        <v>55</v>
      </c>
      <c r="D29" s="428" t="s">
        <v>33</v>
      </c>
      <c r="E29" s="429" t="s">
        <v>15</v>
      </c>
      <c r="F29" s="441" t="s">
        <v>62</v>
      </c>
      <c r="G29" s="442">
        <v>81460</v>
      </c>
      <c r="H29" s="441" t="s">
        <v>48</v>
      </c>
      <c r="I29" s="539">
        <v>16809308.926599998</v>
      </c>
      <c r="J29" s="540">
        <f t="shared" si="0"/>
        <v>3961096.8392443629</v>
      </c>
      <c r="K29" s="541">
        <f t="shared" si="1"/>
        <v>20770405.76584436</v>
      </c>
      <c r="L29" s="430" t="s">
        <v>124</v>
      </c>
      <c r="M29" s="540">
        <f t="shared" si="2"/>
        <v>1038520.288292218</v>
      </c>
      <c r="N29" s="443" t="s">
        <v>124</v>
      </c>
      <c r="O29" s="445"/>
      <c r="P29" s="430" t="s">
        <v>124</v>
      </c>
      <c r="Q29" s="430" t="s">
        <v>124</v>
      </c>
      <c r="R29" s="430" t="s">
        <v>124</v>
      </c>
      <c r="S29" s="431"/>
      <c r="T29" s="431"/>
    </row>
    <row r="30" spans="2:20" ht="15" customHeight="1" x14ac:dyDescent="0.25">
      <c r="B30" s="432">
        <v>24</v>
      </c>
      <c r="C30" s="428" t="s">
        <v>55</v>
      </c>
      <c r="D30" s="428" t="s">
        <v>33</v>
      </c>
      <c r="E30" s="429" t="s">
        <v>24</v>
      </c>
      <c r="F30" s="441" t="s">
        <v>61</v>
      </c>
      <c r="G30" s="442">
        <v>81110</v>
      </c>
      <c r="H30" s="441" t="s">
        <v>4</v>
      </c>
      <c r="I30" s="539">
        <v>14946159.000000002</v>
      </c>
      <c r="J30" s="540">
        <f t="shared" si="0"/>
        <v>3522047.4221910005</v>
      </c>
      <c r="K30" s="541">
        <f t="shared" si="1"/>
        <v>18468206.422191001</v>
      </c>
      <c r="L30" s="430" t="s">
        <v>124</v>
      </c>
      <c r="M30" s="540">
        <f t="shared" si="2"/>
        <v>923410.32110955007</v>
      </c>
      <c r="N30" s="443" t="s">
        <v>124</v>
      </c>
      <c r="O30" s="445"/>
      <c r="P30" s="430" t="s">
        <v>124</v>
      </c>
      <c r="Q30" s="430" t="s">
        <v>124</v>
      </c>
      <c r="R30" s="430" t="s">
        <v>124</v>
      </c>
      <c r="S30" s="431"/>
      <c r="T30" s="431"/>
    </row>
    <row r="31" spans="2:20" ht="15" customHeight="1" x14ac:dyDescent="0.25">
      <c r="B31" s="427">
        <v>25</v>
      </c>
      <c r="C31" s="428" t="s">
        <v>55</v>
      </c>
      <c r="D31" s="428" t="s">
        <v>33</v>
      </c>
      <c r="E31" s="429" t="s">
        <v>26</v>
      </c>
      <c r="F31" s="441" t="s">
        <v>59</v>
      </c>
      <c r="G31" s="442">
        <v>81200</v>
      </c>
      <c r="H31" s="441" t="s">
        <v>2</v>
      </c>
      <c r="I31" s="539">
        <v>29282500</v>
      </c>
      <c r="J31" s="540">
        <f t="shared" si="0"/>
        <v>6900391.8425000003</v>
      </c>
      <c r="K31" s="541">
        <f t="shared" si="1"/>
        <v>36182891.842500001</v>
      </c>
      <c r="L31" s="430" t="s">
        <v>124</v>
      </c>
      <c r="M31" s="540">
        <f t="shared" si="2"/>
        <v>1809144.5921250002</v>
      </c>
      <c r="N31" s="443" t="s">
        <v>124</v>
      </c>
      <c r="O31" s="445"/>
      <c r="P31" s="430" t="s">
        <v>124</v>
      </c>
      <c r="Q31" s="430" t="s">
        <v>124</v>
      </c>
      <c r="R31" s="430" t="s">
        <v>124</v>
      </c>
      <c r="S31" s="431"/>
      <c r="T31" s="431"/>
    </row>
    <row r="32" spans="2:20" ht="15" customHeight="1" x14ac:dyDescent="0.25">
      <c r="B32" s="427">
        <v>26</v>
      </c>
      <c r="C32" s="428" t="s">
        <v>55</v>
      </c>
      <c r="D32" s="428" t="s">
        <v>33</v>
      </c>
      <c r="E32" s="429" t="s">
        <v>22</v>
      </c>
      <c r="F32" s="441" t="s">
        <v>74</v>
      </c>
      <c r="G32" s="442">
        <v>82017</v>
      </c>
      <c r="H32" s="441" t="s">
        <v>41</v>
      </c>
      <c r="I32" s="539">
        <v>23568570</v>
      </c>
      <c r="J32" s="540">
        <f t="shared" si="0"/>
        <v>5553909.9519299995</v>
      </c>
      <c r="K32" s="541">
        <f t="shared" si="1"/>
        <v>29122479.951930001</v>
      </c>
      <c r="L32" s="430" t="s">
        <v>124</v>
      </c>
      <c r="M32" s="540">
        <f t="shared" si="2"/>
        <v>1456123.9975965002</v>
      </c>
      <c r="N32" s="443" t="s">
        <v>124</v>
      </c>
      <c r="O32" s="445"/>
      <c r="P32" s="430" t="s">
        <v>124</v>
      </c>
      <c r="Q32" s="430" t="s">
        <v>124</v>
      </c>
      <c r="R32" s="430" t="s">
        <v>124</v>
      </c>
      <c r="S32" s="431"/>
      <c r="T32" s="431"/>
    </row>
    <row r="33" spans="2:20" ht="15" customHeight="1" x14ac:dyDescent="0.25">
      <c r="B33" s="432">
        <v>27</v>
      </c>
      <c r="C33" s="428" t="s">
        <v>55</v>
      </c>
      <c r="D33" s="428" t="s">
        <v>33</v>
      </c>
      <c r="E33" s="429" t="s">
        <v>16</v>
      </c>
      <c r="F33" s="441" t="s">
        <v>79</v>
      </c>
      <c r="G33" s="442">
        <v>80800</v>
      </c>
      <c r="H33" s="441" t="s">
        <v>49</v>
      </c>
      <c r="I33" s="539">
        <v>7209902.7000000002</v>
      </c>
      <c r="J33" s="540">
        <f t="shared" si="0"/>
        <v>1699006.3613523</v>
      </c>
      <c r="K33" s="541">
        <f t="shared" si="1"/>
        <v>8908909.0613522995</v>
      </c>
      <c r="L33" s="430" t="s">
        <v>124</v>
      </c>
      <c r="M33" s="540">
        <f t="shared" si="2"/>
        <v>445445.45306761499</v>
      </c>
      <c r="N33" s="443" t="s">
        <v>124</v>
      </c>
      <c r="O33" s="445"/>
      <c r="P33" s="430" t="s">
        <v>124</v>
      </c>
      <c r="Q33" s="430" t="s">
        <v>124</v>
      </c>
      <c r="R33" s="430" t="s">
        <v>124</v>
      </c>
      <c r="S33" s="431"/>
      <c r="T33" s="431"/>
    </row>
    <row r="34" spans="2:20" ht="15" customHeight="1" x14ac:dyDescent="0.25">
      <c r="B34" s="427">
        <v>28</v>
      </c>
      <c r="C34" s="428" t="s">
        <v>55</v>
      </c>
      <c r="D34" s="428" t="s">
        <v>33</v>
      </c>
      <c r="E34" s="429" t="s">
        <v>0</v>
      </c>
      <c r="F34" s="441" t="s">
        <v>73</v>
      </c>
      <c r="G34" s="442">
        <v>82910</v>
      </c>
      <c r="H34" s="441" t="s">
        <v>50</v>
      </c>
      <c r="I34" s="539">
        <v>2807557.8615994998</v>
      </c>
      <c r="J34" s="540">
        <f t="shared" si="0"/>
        <v>661598.20252806053</v>
      </c>
      <c r="K34" s="541" t="s">
        <v>522</v>
      </c>
      <c r="L34" s="430" t="s">
        <v>124</v>
      </c>
      <c r="M34" s="540">
        <f t="shared" si="2"/>
        <v>173457.80320637801</v>
      </c>
      <c r="N34" s="443" t="s">
        <v>124</v>
      </c>
      <c r="O34" s="445"/>
      <c r="P34" s="430" t="s">
        <v>124</v>
      </c>
      <c r="Q34" s="430" t="s">
        <v>124</v>
      </c>
      <c r="R34" s="430" t="s">
        <v>124</v>
      </c>
      <c r="S34" s="431"/>
      <c r="T34" s="431"/>
    </row>
    <row r="35" spans="2:20" ht="15" customHeight="1" x14ac:dyDescent="0.25">
      <c r="B35" s="427">
        <v>29</v>
      </c>
      <c r="C35" s="428" t="s">
        <v>55</v>
      </c>
      <c r="D35" s="428" t="s">
        <v>33</v>
      </c>
      <c r="E35" s="429" t="s">
        <v>20</v>
      </c>
      <c r="F35" s="441" t="s">
        <v>60</v>
      </c>
      <c r="G35" s="442">
        <v>81900</v>
      </c>
      <c r="H35" s="441" t="s">
        <v>51</v>
      </c>
      <c r="I35" s="539">
        <v>6395234.4000000004</v>
      </c>
      <c r="J35" s="540">
        <f t="shared" si="0"/>
        <v>1507030.5911256</v>
      </c>
      <c r="K35" s="541">
        <f t="shared" si="1"/>
        <v>7902264.9911256004</v>
      </c>
      <c r="L35" s="430" t="s">
        <v>124</v>
      </c>
      <c r="M35" s="540">
        <f t="shared" si="2"/>
        <v>395113.24955628003</v>
      </c>
      <c r="N35" s="443" t="s">
        <v>124</v>
      </c>
      <c r="O35" s="445"/>
      <c r="P35" s="430" t="s">
        <v>124</v>
      </c>
      <c r="Q35" s="430" t="s">
        <v>124</v>
      </c>
      <c r="R35" s="430" t="s">
        <v>124</v>
      </c>
      <c r="S35" s="431"/>
      <c r="T35" s="431"/>
    </row>
    <row r="36" spans="2:20" ht="15" customHeight="1" x14ac:dyDescent="0.25">
      <c r="B36" s="432">
        <v>30</v>
      </c>
      <c r="C36" s="428" t="s">
        <v>55</v>
      </c>
      <c r="D36" s="428" t="s">
        <v>107</v>
      </c>
      <c r="E36" s="429" t="s">
        <v>10</v>
      </c>
      <c r="F36" s="441" t="s">
        <v>75</v>
      </c>
      <c r="G36" s="442">
        <v>80308</v>
      </c>
      <c r="H36" s="441" t="s">
        <v>41</v>
      </c>
      <c r="I36" s="539">
        <v>9870800.8488500006</v>
      </c>
      <c r="J36" s="540">
        <f t="shared" si="0"/>
        <v>2326044.3492306536</v>
      </c>
      <c r="K36" s="541">
        <f t="shared" si="1"/>
        <v>12196845.198080655</v>
      </c>
      <c r="L36" s="430" t="s">
        <v>124</v>
      </c>
      <c r="M36" s="540">
        <f t="shared" si="2"/>
        <v>609842.25990403281</v>
      </c>
      <c r="N36" s="443" t="s">
        <v>124</v>
      </c>
      <c r="O36" s="445"/>
      <c r="P36" s="430" t="s">
        <v>124</v>
      </c>
      <c r="Q36" s="430" t="s">
        <v>124</v>
      </c>
      <c r="R36" s="430" t="s">
        <v>124</v>
      </c>
      <c r="S36" s="431"/>
      <c r="T36" s="431"/>
    </row>
    <row r="37" spans="2:20" ht="15" customHeight="1" x14ac:dyDescent="0.25">
      <c r="B37" s="427">
        <v>31</v>
      </c>
      <c r="C37" s="428" t="s">
        <v>55</v>
      </c>
      <c r="D37" s="428" t="s">
        <v>110</v>
      </c>
      <c r="E37" s="429" t="s">
        <v>92</v>
      </c>
      <c r="F37" s="441" t="s">
        <v>56</v>
      </c>
      <c r="G37" s="442">
        <v>80308</v>
      </c>
      <c r="H37" s="441" t="s">
        <v>5</v>
      </c>
      <c r="I37" s="539">
        <v>65736347.004671201</v>
      </c>
      <c r="J37" s="540">
        <f t="shared" si="0"/>
        <v>15490704.435303764</v>
      </c>
      <c r="K37" s="541">
        <f t="shared" si="1"/>
        <v>81227051.439974964</v>
      </c>
      <c r="L37" s="430" t="s">
        <v>124</v>
      </c>
      <c r="M37" s="540">
        <f t="shared" si="2"/>
        <v>4061352.5719987485</v>
      </c>
      <c r="N37" s="443" t="s">
        <v>124</v>
      </c>
      <c r="O37" s="445"/>
      <c r="P37" s="430" t="s">
        <v>124</v>
      </c>
      <c r="Q37" s="430" t="s">
        <v>124</v>
      </c>
      <c r="R37" s="430" t="s">
        <v>124</v>
      </c>
      <c r="S37" s="431"/>
      <c r="T37" s="431"/>
    </row>
    <row r="38" spans="2:20" ht="15" customHeight="1" x14ac:dyDescent="0.25">
      <c r="B38" s="427">
        <v>32</v>
      </c>
      <c r="C38" s="428" t="s">
        <v>55</v>
      </c>
      <c r="D38" s="428" t="s">
        <v>29</v>
      </c>
      <c r="E38" s="429" t="s">
        <v>1</v>
      </c>
      <c r="F38" s="441" t="s">
        <v>88</v>
      </c>
      <c r="G38" s="442">
        <v>80100</v>
      </c>
      <c r="H38" s="441" t="s">
        <v>40</v>
      </c>
      <c r="I38" s="539">
        <v>121067032.11228</v>
      </c>
      <c r="J38" s="540">
        <f t="shared" si="0"/>
        <v>28529325.05022667</v>
      </c>
      <c r="K38" s="541">
        <f t="shared" si="1"/>
        <v>149596357.16250667</v>
      </c>
      <c r="L38" s="430" t="s">
        <v>124</v>
      </c>
      <c r="M38" s="540">
        <f t="shared" si="2"/>
        <v>7479817.8581253337</v>
      </c>
      <c r="N38" s="443" t="s">
        <v>124</v>
      </c>
      <c r="O38" s="445"/>
      <c r="P38" s="430" t="s">
        <v>124</v>
      </c>
      <c r="Q38" s="430" t="s">
        <v>124</v>
      </c>
      <c r="R38" s="430" t="s">
        <v>124</v>
      </c>
      <c r="S38" s="431"/>
      <c r="T38" s="431"/>
    </row>
    <row r="39" spans="2:20" ht="15" customHeight="1" x14ac:dyDescent="0.25">
      <c r="B39" s="432">
        <v>33</v>
      </c>
      <c r="C39" s="428" t="s">
        <v>55</v>
      </c>
      <c r="D39" s="428" t="s">
        <v>31</v>
      </c>
      <c r="E39" s="429" t="s">
        <v>98</v>
      </c>
      <c r="F39" s="441" t="s">
        <v>99</v>
      </c>
      <c r="G39" s="442">
        <v>3100</v>
      </c>
      <c r="H39" s="441" t="s">
        <v>100</v>
      </c>
      <c r="I39" s="539">
        <v>6032195</v>
      </c>
      <c r="J39" s="540">
        <f t="shared" si="0"/>
        <v>1421480.7195550001</v>
      </c>
      <c r="K39" s="541">
        <f t="shared" si="1"/>
        <v>7453675.7195549998</v>
      </c>
      <c r="L39" s="430" t="s">
        <v>124</v>
      </c>
      <c r="M39" s="540">
        <f t="shared" si="2"/>
        <v>372683.78597775003</v>
      </c>
      <c r="N39" s="443" t="s">
        <v>124</v>
      </c>
      <c r="O39" s="445"/>
      <c r="P39" s="430" t="s">
        <v>124</v>
      </c>
      <c r="Q39" s="430" t="s">
        <v>124</v>
      </c>
      <c r="R39" s="430" t="s">
        <v>124</v>
      </c>
      <c r="S39" s="431"/>
      <c r="T39" s="431"/>
    </row>
    <row r="40" spans="2:20" ht="15" customHeight="1" x14ac:dyDescent="0.25">
      <c r="B40" s="427">
        <v>34</v>
      </c>
      <c r="C40" s="428" t="s">
        <v>55</v>
      </c>
      <c r="D40" s="428" t="s">
        <v>31</v>
      </c>
      <c r="E40" s="429" t="s">
        <v>102</v>
      </c>
      <c r="F40" s="441" t="s">
        <v>103</v>
      </c>
      <c r="G40" s="442">
        <v>82010</v>
      </c>
      <c r="H40" s="441" t="s">
        <v>101</v>
      </c>
      <c r="I40" s="539">
        <v>3519560.4</v>
      </c>
      <c r="J40" s="540">
        <f t="shared" si="0"/>
        <v>829380.88869960001</v>
      </c>
      <c r="K40" s="541">
        <f t="shared" si="1"/>
        <v>4348941.2886995999</v>
      </c>
      <c r="L40" s="430" t="s">
        <v>124</v>
      </c>
      <c r="M40" s="540">
        <f t="shared" si="2"/>
        <v>217447.06443498001</v>
      </c>
      <c r="N40" s="443" t="s">
        <v>124</v>
      </c>
      <c r="O40" s="445"/>
      <c r="P40" s="430" t="s">
        <v>124</v>
      </c>
      <c r="Q40" s="430" t="s">
        <v>124</v>
      </c>
      <c r="R40" s="430" t="s">
        <v>124</v>
      </c>
      <c r="S40" s="431"/>
      <c r="T40" s="431"/>
    </row>
    <row r="41" spans="2:20" ht="15" customHeight="1" x14ac:dyDescent="0.25">
      <c r="B41" s="427">
        <v>35</v>
      </c>
      <c r="C41" s="428" t="s">
        <v>55</v>
      </c>
      <c r="D41" s="428" t="s">
        <v>31</v>
      </c>
      <c r="E41" s="429" t="s">
        <v>492</v>
      </c>
      <c r="F41" s="441" t="s">
        <v>104</v>
      </c>
      <c r="G41" s="442">
        <v>80020</v>
      </c>
      <c r="H41" s="441" t="s">
        <v>5</v>
      </c>
      <c r="I41" s="539">
        <v>119254054.50000001</v>
      </c>
      <c r="J41" s="540">
        <f t="shared" si="0"/>
        <v>28102098.688870504</v>
      </c>
      <c r="K41" s="541">
        <f t="shared" si="1"/>
        <v>147356153.18887052</v>
      </c>
      <c r="L41" s="430" t="s">
        <v>124</v>
      </c>
      <c r="M41" s="540">
        <f t="shared" si="2"/>
        <v>7367807.6594435265</v>
      </c>
      <c r="N41" s="443" t="s">
        <v>124</v>
      </c>
      <c r="O41" s="445"/>
      <c r="P41" s="430" t="s">
        <v>124</v>
      </c>
      <c r="Q41" s="430" t="s">
        <v>124</v>
      </c>
      <c r="R41" s="430" t="s">
        <v>124</v>
      </c>
      <c r="S41" s="431"/>
      <c r="T41" s="431"/>
    </row>
    <row r="42" spans="2:20" ht="15" customHeight="1" x14ac:dyDescent="0.25">
      <c r="B42" s="99">
        <v>36</v>
      </c>
      <c r="C42" s="9" t="s">
        <v>83</v>
      </c>
      <c r="D42" s="9" t="s">
        <v>109</v>
      </c>
      <c r="E42" s="100" t="s">
        <v>605</v>
      </c>
      <c r="F42" s="394" t="s">
        <v>604</v>
      </c>
      <c r="G42" s="99">
        <v>80027</v>
      </c>
      <c r="H42" s="9" t="s">
        <v>40</v>
      </c>
      <c r="I42" s="546">
        <v>6618215.9999999991</v>
      </c>
      <c r="J42" s="547">
        <f t="shared" si="0"/>
        <v>1559575.9821839998</v>
      </c>
      <c r="K42" s="548">
        <f t="shared" si="1"/>
        <v>8177791.9821839985</v>
      </c>
      <c r="L42" s="386" t="s">
        <v>124</v>
      </c>
      <c r="M42" s="547">
        <f t="shared" si="2"/>
        <v>408889.59910919995</v>
      </c>
      <c r="N42" s="387" t="s">
        <v>124</v>
      </c>
      <c r="O42" s="388"/>
      <c r="P42" s="387" t="s">
        <v>124</v>
      </c>
      <c r="Q42" s="387" t="s">
        <v>124</v>
      </c>
      <c r="R42" s="387" t="s">
        <v>124</v>
      </c>
      <c r="S42" s="91"/>
      <c r="T42" s="91"/>
    </row>
    <row r="43" spans="2:20" s="190" customFormat="1" ht="23.25" customHeight="1" x14ac:dyDescent="0.25">
      <c r="B43" s="561">
        <f>SUBTOTAL(103,'3.1 y 3.2 GES PROPIOS'!$B$5:$B$42)</f>
        <v>36</v>
      </c>
      <c r="C43" s="389"/>
      <c r="D43" s="389"/>
      <c r="E43" s="390"/>
      <c r="F43" s="393" t="s">
        <v>520</v>
      </c>
      <c r="G43" s="395" t="s">
        <v>607</v>
      </c>
      <c r="H43" s="391"/>
      <c r="I43" s="534">
        <f>SUBTOTAL(109,'3.1 y 3.2 GES PROPIOS'!$I$5:$I$42)</f>
        <v>1703039686.1862874</v>
      </c>
      <c r="J43" s="392">
        <f>SUBTOTAL(109,'3.1 y 3.2 GES PROPIOS'!$J$5:$J$42)</f>
        <v>404511346.64426142</v>
      </c>
      <c r="K43" s="535">
        <f>SUBTOTAL(109,'3.1 y 3.2 GES PROPIOS'!$K$5:$K$42)</f>
        <v>2104081876.7664206</v>
      </c>
      <c r="L43" s="392">
        <f>SUBTOTAL(109,'3.1 y 3.2 GES PROPIOS'!$L$5:$L$42)</f>
        <v>20000000</v>
      </c>
      <c r="M43" s="392">
        <f>SUBTOTAL(109,'3.1 y 3.2 GES PROPIOS'!$M$5:$M$42)</f>
        <v>105377551.64152741</v>
      </c>
      <c r="N43" s="392">
        <f>SUBTOTAL(109,'3.1 y 3.2 GES PROPIOS'!$N$5:$N$42)</f>
        <v>50000000</v>
      </c>
      <c r="O43" s="392">
        <f>SUBTOTAL(109,'3.1 y 3.2 GES PROPIOS'!$O$5:$O$42)</f>
        <v>20000000</v>
      </c>
      <c r="P43" s="392">
        <f>SUBTOTAL(109,'3.1 y 3.2 GES PROPIOS'!$P$5:$P$42)</f>
        <v>1500000</v>
      </c>
      <c r="Q43" s="392">
        <f>SUBTOTAL(109,'3.1 y 3.2 GES PROPIOS'!$Q$5:$Q$42)</f>
        <v>500000</v>
      </c>
      <c r="R43" s="392">
        <f>SUBTOTAL(109,'3.1 y 3.2 GES PROPIOS'!$R$5:$R$42)</f>
        <v>500000</v>
      </c>
      <c r="S43" s="392">
        <f>SUBTOTAL(109,'3.1 y 3.2 GES PROPIOS'!$S$5:$S$42)</f>
        <v>90000000</v>
      </c>
      <c r="T43" s="392">
        <f>SUBTOTAL(109,'3.1 y 3.2 GES PROPIOS'!$T$5:$T$42)</f>
        <v>7839846</v>
      </c>
    </row>
    <row r="44" spans="2:20" x14ac:dyDescent="0.25">
      <c r="B44" s="99"/>
      <c r="C44" s="9"/>
      <c r="D44" s="9"/>
      <c r="E44" s="100"/>
      <c r="F44" s="9"/>
      <c r="G44" s="99"/>
      <c r="H44" s="9"/>
      <c r="I44" s="91"/>
      <c r="J44" s="90"/>
      <c r="K44" s="90"/>
      <c r="L44" s="171" t="s">
        <v>487</v>
      </c>
      <c r="M44" s="91"/>
      <c r="N44" s="171" t="s">
        <v>487</v>
      </c>
      <c r="O44" s="171" t="s">
        <v>487</v>
      </c>
      <c r="P44" s="171" t="s">
        <v>487</v>
      </c>
      <c r="Q44" s="171" t="s">
        <v>487</v>
      </c>
      <c r="R44" s="171" t="s">
        <v>487</v>
      </c>
      <c r="S44" s="171" t="s">
        <v>487</v>
      </c>
      <c r="T44" s="171" t="s">
        <v>487</v>
      </c>
    </row>
    <row r="45" spans="2:20" s="91" customFormat="1" ht="11.25" x14ac:dyDescent="0.2">
      <c r="B45" s="99"/>
      <c r="C45" s="9"/>
      <c r="D45" s="9"/>
      <c r="E45" s="100"/>
      <c r="F45" s="179"/>
      <c r="G45" s="99"/>
      <c r="H45" s="9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2:20" s="3" customFormat="1" ht="18" x14ac:dyDescent="0.25">
      <c r="B46" s="117"/>
      <c r="C46" s="527" t="s">
        <v>589</v>
      </c>
      <c r="D46" s="264"/>
      <c r="E46" s="265" t="s">
        <v>722</v>
      </c>
      <c r="F46" s="118"/>
      <c r="G46" s="117"/>
      <c r="H46" s="118"/>
      <c r="I46" s="101"/>
      <c r="J46" s="173"/>
      <c r="K46" s="173"/>
      <c r="L46" s="174"/>
      <c r="M46" s="174"/>
      <c r="N46" s="174"/>
      <c r="O46" s="174"/>
      <c r="P46" s="174"/>
      <c r="Q46" s="174"/>
      <c r="R46" s="174"/>
      <c r="S46" s="174"/>
      <c r="T46" s="174"/>
    </row>
    <row r="47" spans="2:20" s="3" customFormat="1" ht="18" hidden="1" x14ac:dyDescent="0.25">
      <c r="B47" s="117" t="s">
        <v>546</v>
      </c>
      <c r="C47" s="263" t="s">
        <v>547</v>
      </c>
      <c r="D47" s="264" t="s">
        <v>548</v>
      </c>
      <c r="E47" s="265" t="s">
        <v>549</v>
      </c>
      <c r="F47" s="118" t="s">
        <v>550</v>
      </c>
      <c r="G47" s="117" t="s">
        <v>551</v>
      </c>
      <c r="H47" s="118" t="s">
        <v>552</v>
      </c>
      <c r="I47" s="101" t="s">
        <v>553</v>
      </c>
      <c r="J47" s="173" t="s">
        <v>554</v>
      </c>
      <c r="K47" s="173" t="s">
        <v>555</v>
      </c>
      <c r="L47" s="174" t="s">
        <v>556</v>
      </c>
      <c r="M47" s="174" t="s">
        <v>557</v>
      </c>
      <c r="N47" s="174" t="s">
        <v>558</v>
      </c>
      <c r="O47" s="174" t="s">
        <v>559</v>
      </c>
      <c r="P47" s="174" t="s">
        <v>560</v>
      </c>
      <c r="Q47" s="174" t="s">
        <v>561</v>
      </c>
      <c r="R47" s="174" t="s">
        <v>562</v>
      </c>
      <c r="S47" s="174" t="s">
        <v>563</v>
      </c>
      <c r="T47" s="174" t="s">
        <v>564</v>
      </c>
    </row>
    <row r="48" spans="2:20" s="465" customFormat="1" ht="15" customHeight="1" x14ac:dyDescent="0.25">
      <c r="B48" s="117">
        <v>1</v>
      </c>
      <c r="C48" s="118" t="s">
        <v>191</v>
      </c>
      <c r="D48" s="118" t="s">
        <v>28</v>
      </c>
      <c r="E48" s="119" t="s">
        <v>89</v>
      </c>
      <c r="F48" s="118" t="s">
        <v>111</v>
      </c>
      <c r="G48" s="117">
        <v>80000</v>
      </c>
      <c r="H48" s="118" t="s">
        <v>40</v>
      </c>
      <c r="I48" s="556">
        <v>17786488.155255701</v>
      </c>
      <c r="J48" s="549">
        <f>I48*0.235649</f>
        <v>4191368.1472978508</v>
      </c>
      <c r="K48" s="552">
        <f t="shared" ref="K48:K53" si="3">+I48+J48</f>
        <v>21977856.302553553</v>
      </c>
      <c r="L48" s="452" t="s">
        <v>124</v>
      </c>
      <c r="M48" s="549">
        <f t="shared" ref="M48:M53" si="4">(I48+J48)*5%</f>
        <v>1098892.8151276777</v>
      </c>
      <c r="N48" s="121" t="s">
        <v>124</v>
      </c>
      <c r="O48" s="121" t="s">
        <v>124</v>
      </c>
      <c r="P48" s="121" t="s">
        <v>124</v>
      </c>
      <c r="Q48" s="121" t="s">
        <v>124</v>
      </c>
      <c r="R48" s="121" t="s">
        <v>124</v>
      </c>
      <c r="S48" s="453">
        <v>2892800.22</v>
      </c>
      <c r="T48" s="118"/>
    </row>
    <row r="49" spans="2:20" s="42" customFormat="1" ht="15" customHeight="1" x14ac:dyDescent="0.25">
      <c r="B49" s="454">
        <v>2</v>
      </c>
      <c r="C49" s="455" t="s">
        <v>191</v>
      </c>
      <c r="D49" s="455" t="s">
        <v>28</v>
      </c>
      <c r="E49" s="456" t="s">
        <v>97</v>
      </c>
      <c r="F49" s="455" t="s">
        <v>113</v>
      </c>
      <c r="G49" s="454">
        <v>80100</v>
      </c>
      <c r="H49" s="455" t="s">
        <v>40</v>
      </c>
      <c r="I49" s="557">
        <v>26061106.999999996</v>
      </c>
      <c r="J49" s="550">
        <v>70481579.810000002</v>
      </c>
      <c r="K49" s="553">
        <f t="shared" si="3"/>
        <v>96542686.810000002</v>
      </c>
      <c r="L49" s="457" t="s">
        <v>124</v>
      </c>
      <c r="M49" s="550">
        <f t="shared" si="4"/>
        <v>4827134.3404999999</v>
      </c>
      <c r="N49" s="458" t="s">
        <v>124</v>
      </c>
      <c r="O49" s="458" t="s">
        <v>124</v>
      </c>
      <c r="P49" s="458" t="s">
        <v>124</v>
      </c>
      <c r="Q49" s="458" t="s">
        <v>124</v>
      </c>
      <c r="R49" s="458" t="s">
        <v>124</v>
      </c>
      <c r="S49" s="459">
        <v>7763197.6299999999</v>
      </c>
      <c r="T49" s="455"/>
    </row>
    <row r="50" spans="2:20" s="42" customFormat="1" ht="15" customHeight="1" x14ac:dyDescent="0.25">
      <c r="B50" s="454">
        <v>3</v>
      </c>
      <c r="C50" s="455" t="s">
        <v>191</v>
      </c>
      <c r="D50" s="455" t="s">
        <v>28</v>
      </c>
      <c r="E50" s="460" t="s">
        <v>3</v>
      </c>
      <c r="F50" s="455" t="s">
        <v>58</v>
      </c>
      <c r="G50" s="454">
        <v>81240</v>
      </c>
      <c r="H50" s="455" t="s">
        <v>2</v>
      </c>
      <c r="I50" s="557">
        <v>3982620.2936207596</v>
      </c>
      <c r="J50" s="550">
        <v>1995438.93</v>
      </c>
      <c r="K50" s="553">
        <f t="shared" si="3"/>
        <v>5978059.2236207593</v>
      </c>
      <c r="L50" s="457" t="s">
        <v>124</v>
      </c>
      <c r="M50" s="550">
        <f t="shared" si="4"/>
        <v>298902.961181038</v>
      </c>
      <c r="N50" s="458" t="s">
        <v>124</v>
      </c>
      <c r="O50" s="458" t="s">
        <v>124</v>
      </c>
      <c r="P50" s="458" t="s">
        <v>124</v>
      </c>
      <c r="Q50" s="458" t="s">
        <v>124</v>
      </c>
      <c r="R50" s="458" t="s">
        <v>124</v>
      </c>
      <c r="S50" s="461">
        <v>555733.49</v>
      </c>
      <c r="T50" s="455"/>
    </row>
    <row r="51" spans="2:20" s="42" customFormat="1" ht="15" customHeight="1" x14ac:dyDescent="0.25">
      <c r="B51" s="454">
        <v>4</v>
      </c>
      <c r="C51" s="455" t="s">
        <v>191</v>
      </c>
      <c r="D51" s="455" t="s">
        <v>28</v>
      </c>
      <c r="E51" s="460" t="s">
        <v>3</v>
      </c>
      <c r="F51" s="455" t="s">
        <v>140</v>
      </c>
      <c r="G51" s="454">
        <v>81240</v>
      </c>
      <c r="H51" s="455" t="s">
        <v>2</v>
      </c>
      <c r="I51" s="557">
        <v>2353117.9994600005</v>
      </c>
      <c r="J51" s="550">
        <f>I51*0.235649</f>
        <v>554509.90345474961</v>
      </c>
      <c r="K51" s="553">
        <f t="shared" si="3"/>
        <v>2907627.9029147504</v>
      </c>
      <c r="L51" s="457" t="s">
        <v>124</v>
      </c>
      <c r="M51" s="550">
        <f t="shared" si="4"/>
        <v>145381.39514573754</v>
      </c>
      <c r="N51" s="458" t="s">
        <v>124</v>
      </c>
      <c r="O51" s="458" t="s">
        <v>124</v>
      </c>
      <c r="P51" s="458" t="s">
        <v>124</v>
      </c>
      <c r="Q51" s="458" t="s">
        <v>124</v>
      </c>
      <c r="R51" s="458" t="s">
        <v>124</v>
      </c>
      <c r="S51" s="455"/>
      <c r="T51" s="455"/>
    </row>
    <row r="52" spans="2:20" s="42" customFormat="1" ht="15" customHeight="1" x14ac:dyDescent="0.25">
      <c r="B52" s="454">
        <v>5</v>
      </c>
      <c r="C52" s="455" t="s">
        <v>191</v>
      </c>
      <c r="D52" s="455" t="s">
        <v>28</v>
      </c>
      <c r="E52" s="460" t="s">
        <v>96</v>
      </c>
      <c r="F52" s="462" t="s">
        <v>64</v>
      </c>
      <c r="G52" s="463">
        <v>80308</v>
      </c>
      <c r="H52" s="455" t="s">
        <v>40</v>
      </c>
      <c r="I52" s="557">
        <v>13763832.490979999</v>
      </c>
      <c r="J52" s="550">
        <v>73832340.25</v>
      </c>
      <c r="K52" s="553">
        <f t="shared" si="3"/>
        <v>87596172.740979999</v>
      </c>
      <c r="L52" s="457" t="s">
        <v>124</v>
      </c>
      <c r="M52" s="550">
        <f t="shared" si="4"/>
        <v>4379808.6370489998</v>
      </c>
      <c r="N52" s="458" t="s">
        <v>124</v>
      </c>
      <c r="O52" s="458" t="s">
        <v>124</v>
      </c>
      <c r="P52" s="458" t="s">
        <v>124</v>
      </c>
      <c r="Q52" s="458" t="s">
        <v>124</v>
      </c>
      <c r="R52" s="458" t="s">
        <v>124</v>
      </c>
      <c r="S52" s="459">
        <v>4698935.49</v>
      </c>
      <c r="T52" s="455"/>
    </row>
    <row r="53" spans="2:20" s="42" customFormat="1" ht="15" customHeight="1" x14ac:dyDescent="0.25">
      <c r="B53" s="99">
        <v>6</v>
      </c>
      <c r="C53" s="9" t="s">
        <v>191</v>
      </c>
      <c r="D53" s="9" t="s">
        <v>28</v>
      </c>
      <c r="E53" s="100" t="s">
        <v>93</v>
      </c>
      <c r="F53" s="394" t="s">
        <v>112</v>
      </c>
      <c r="G53" s="99">
        <v>80100</v>
      </c>
      <c r="H53" s="9" t="s">
        <v>40</v>
      </c>
      <c r="I53" s="558">
        <v>11686491.680325</v>
      </c>
      <c r="J53" s="554">
        <v>25386280.399999999</v>
      </c>
      <c r="K53" s="555">
        <f t="shared" si="3"/>
        <v>37072772.080325</v>
      </c>
      <c r="L53" s="181" t="s">
        <v>124</v>
      </c>
      <c r="M53" s="551">
        <f t="shared" si="4"/>
        <v>1853638.60401625</v>
      </c>
      <c r="N53" s="178" t="s">
        <v>124</v>
      </c>
      <c r="O53" s="178" t="s">
        <v>124</v>
      </c>
      <c r="P53" s="178" t="s">
        <v>124</v>
      </c>
      <c r="Q53" s="178" t="s">
        <v>124</v>
      </c>
      <c r="R53" s="178" t="s">
        <v>124</v>
      </c>
      <c r="S53" s="277">
        <v>9433823.4299999997</v>
      </c>
      <c r="T53" s="9"/>
    </row>
    <row r="54" spans="2:20" s="269" customFormat="1" ht="21.75" customHeight="1" x14ac:dyDescent="0.25">
      <c r="B54" s="194">
        <f>SUBTOTAL(103,Table4[Column1])</f>
        <v>6</v>
      </c>
      <c r="C54" s="266"/>
      <c r="D54" s="266"/>
      <c r="E54" s="267"/>
      <c r="F54" s="186" t="s">
        <v>565</v>
      </c>
      <c r="G54" s="276" t="s">
        <v>606</v>
      </c>
      <c r="H54" s="266"/>
      <c r="I54" s="559">
        <f>SUBTOTAL(109,Table4[Column8])</f>
        <v>75633657.619641453</v>
      </c>
      <c r="J54" s="268">
        <f>SUBTOTAL(109,Table4[Column9])</f>
        <v>176441517.4407526</v>
      </c>
      <c r="K54" s="560">
        <f>SUBTOTAL(109,Table4[Column10])</f>
        <v>252075175.06039405</v>
      </c>
      <c r="L54" s="268">
        <f>SUBTOTAL(109,Table4[Column11])</f>
        <v>0</v>
      </c>
      <c r="M54" s="268">
        <f>SUBTOTAL(109,Table4[Column12])</f>
        <v>12603758.753019704</v>
      </c>
      <c r="N54" s="268">
        <f>SUBTOTAL(109,Table4[Column13])</f>
        <v>0</v>
      </c>
      <c r="O54" s="268">
        <f>SUBTOTAL(109,Table4[Column14])</f>
        <v>0</v>
      </c>
      <c r="P54" s="268">
        <f>SUBTOTAL(109,Table4[Column15])</f>
        <v>0</v>
      </c>
      <c r="Q54" s="268">
        <f>SUBTOTAL(109,Table4[Column16])</f>
        <v>0</v>
      </c>
      <c r="R54" s="268">
        <f>SUBTOTAL(109,Table4[Column17])</f>
        <v>0</v>
      </c>
      <c r="S54" s="268">
        <f>SUBTOTAL(109,Table4[Column18])</f>
        <v>25344490.259999998</v>
      </c>
      <c r="T54" s="268">
        <f>SUBTOTAL(109,Table4[Column19])</f>
        <v>0</v>
      </c>
    </row>
    <row r="55" spans="2:20" s="91" customFormat="1" ht="28.5" customHeight="1" x14ac:dyDescent="0.2">
      <c r="B55" s="184"/>
      <c r="C55" s="184"/>
      <c r="D55" s="184"/>
      <c r="E55" s="184"/>
      <c r="F55" s="184"/>
      <c r="G55" s="184"/>
      <c r="H55" s="184"/>
      <c r="I55" s="184"/>
      <c r="J55" s="185"/>
      <c r="K55" s="185"/>
      <c r="L55" s="184" t="s">
        <v>487</v>
      </c>
      <c r="M55" s="184"/>
      <c r="N55" s="184" t="s">
        <v>487</v>
      </c>
      <c r="O55" s="184" t="s">
        <v>487</v>
      </c>
      <c r="P55" s="184" t="s">
        <v>487</v>
      </c>
      <c r="Q55" s="184" t="s">
        <v>487</v>
      </c>
      <c r="R55" s="184" t="s">
        <v>487</v>
      </c>
      <c r="S55" s="184" t="s">
        <v>487</v>
      </c>
      <c r="T55" s="184" t="s">
        <v>487</v>
      </c>
    </row>
    <row r="56" spans="2:20" ht="28.5" customHeight="1" thickBot="1" x14ac:dyDescent="0.3">
      <c r="B56" s="464">
        <f>+'3.1 y 3.2 GES PROPIOS'!$B$43+Table4[[#Totals],[Column1]]</f>
        <v>42</v>
      </c>
      <c r="C56" s="126"/>
      <c r="D56" s="126"/>
      <c r="E56" s="127"/>
      <c r="F56" s="397" t="s">
        <v>608</v>
      </c>
      <c r="G56" s="396"/>
      <c r="H56" s="126"/>
      <c r="I56" s="563">
        <f>+'3.1 y 3.2 GES PROPIOS'!$I$43+Table4[[#Totals],[Column8]]</f>
        <v>1778673343.8059289</v>
      </c>
      <c r="J56" s="273">
        <f>+'3.1 y 3.2 GES PROPIOS'!$J$43+Table4[[#Totals],[Column9]]</f>
        <v>580952864.08501399</v>
      </c>
      <c r="K56" s="562">
        <f>+'3.1 y 3.2 GES PROPIOS'!$K$43+Table4[[#Totals],[Column10]]</f>
        <v>2356157051.8268147</v>
      </c>
      <c r="L56" s="273">
        <f>+'3.1 y 3.2 GES PROPIOS'!$L$43+Table4[[#Totals],[Column11]]</f>
        <v>20000000</v>
      </c>
      <c r="M56" s="273">
        <f>+'3.1 y 3.2 GES PROPIOS'!$M$43+Table4[[#Totals],[Column12]]</f>
        <v>117981310.39454712</v>
      </c>
      <c r="N56" s="273">
        <f>+'3.1 y 3.2 GES PROPIOS'!$N$43+Table4[[#Totals],[Column13]]</f>
        <v>50000000</v>
      </c>
      <c r="O56" s="273">
        <f>+'3.1 y 3.2 GES PROPIOS'!$O$43+Table4[[#Totals],[Column14]]</f>
        <v>20000000</v>
      </c>
      <c r="P56" s="273">
        <f>+'3.1 y 3.2 GES PROPIOS'!$P$43+Table4[[#Totals],[Column15]]</f>
        <v>1500000</v>
      </c>
      <c r="Q56" s="273">
        <f>+'3.1 y 3.2 GES PROPIOS'!$Q$43+Table4[[#Totals],[Column16]]</f>
        <v>500000</v>
      </c>
      <c r="R56" s="273">
        <f>+'3.1 y 3.2 GES PROPIOS'!$R$43+Table4[[#Totals],[Column17]]</f>
        <v>500000</v>
      </c>
      <c r="S56" s="273">
        <f>+'3.1 y 3.2 GES PROPIOS'!$S$43+Table4[[#Totals],[Column18]]</f>
        <v>115344490.25999999</v>
      </c>
      <c r="T56" s="273">
        <f>+'3.1 y 3.2 GES PROPIOS'!$T$43+Table4[[#Totals],[Column19]]</f>
        <v>7839846</v>
      </c>
    </row>
    <row r="57" spans="2:20" x14ac:dyDescent="0.25">
      <c r="B57" s="99"/>
      <c r="C57" s="9"/>
      <c r="D57" s="9"/>
      <c r="E57" s="100"/>
      <c r="F57" s="9"/>
      <c r="G57" s="99"/>
      <c r="H57" s="9"/>
      <c r="I57" s="91"/>
      <c r="J57" s="90"/>
      <c r="K57" s="90"/>
      <c r="L57" s="171" t="s">
        <v>487</v>
      </c>
      <c r="M57" s="91"/>
      <c r="N57" s="171" t="s">
        <v>487</v>
      </c>
      <c r="O57" s="171" t="s">
        <v>487</v>
      </c>
      <c r="P57" s="171" t="s">
        <v>487</v>
      </c>
      <c r="Q57" s="171" t="s">
        <v>487</v>
      </c>
      <c r="R57" s="171" t="s">
        <v>487</v>
      </c>
      <c r="S57" s="171" t="s">
        <v>487</v>
      </c>
      <c r="T57" s="171" t="s">
        <v>487</v>
      </c>
    </row>
    <row r="58" spans="2:20" x14ac:dyDescent="0.25">
      <c r="I58" s="150" t="s">
        <v>474</v>
      </c>
      <c r="J58" s="150" t="s">
        <v>475</v>
      </c>
      <c r="K58" s="150" t="s">
        <v>476</v>
      </c>
      <c r="L58" s="151" t="s">
        <v>477</v>
      </c>
      <c r="M58" s="151" t="s">
        <v>478</v>
      </c>
      <c r="N58" s="152" t="s">
        <v>479</v>
      </c>
      <c r="O58" s="152" t="s">
        <v>480</v>
      </c>
      <c r="P58" s="152" t="s">
        <v>481</v>
      </c>
      <c r="Q58" s="152" t="s">
        <v>482</v>
      </c>
      <c r="R58" s="152" t="s">
        <v>483</v>
      </c>
      <c r="S58" s="152" t="s">
        <v>484</v>
      </c>
      <c r="T58" s="152" t="s">
        <v>485</v>
      </c>
    </row>
    <row r="59" spans="2:20" x14ac:dyDescent="0.25">
      <c r="Q59" s="152"/>
      <c r="R59" s="152"/>
    </row>
  </sheetData>
  <mergeCells count="1">
    <mergeCell ref="B2:T2"/>
  </mergeCells>
  <conditionalFormatting sqref="S5:T5 O7:O42 S7:T42">
    <cfRule type="cellIs" dxfId="15" priority="3" operator="equal">
      <formula>0</formula>
    </cfRule>
  </conditionalFormatting>
  <conditionalFormatting sqref="I48:T53">
    <cfRule type="cellIs" dxfId="14" priority="1" operator="equal">
      <formula>0</formula>
    </cfRule>
  </conditionalFormatting>
  <printOptions horizontalCentered="1"/>
  <pageMargins left="3.9370078740157501E-2" right="3.9370078740157501E-2" top="0.15748031496063" bottom="0.15748031496063" header="0.31496062992126" footer="0.31496062992126"/>
  <pageSetup paperSize="119" scale="36" orientation="landscape" r:id="rId1"/>
  <customProperties>
    <customPr name="LastActive" r:id="rId2"/>
  </customProperties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70C0"/>
    <pageSetUpPr fitToPage="1"/>
  </sheetPr>
  <dimension ref="B1:T132"/>
  <sheetViews>
    <sheetView showGridLines="0" showRowColHeaders="0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baseColWidth="10" defaultColWidth="11.42578125" defaultRowHeight="12.75" x14ac:dyDescent="0.25"/>
  <cols>
    <col min="1" max="1" width="2.28515625" style="44" customWidth="1"/>
    <col min="2" max="2" width="4.5703125" style="41" customWidth="1"/>
    <col min="3" max="3" width="12" style="42" customWidth="1"/>
    <col min="4" max="4" width="9.85546875" style="42" customWidth="1"/>
    <col min="5" max="5" width="57.140625" style="43" customWidth="1"/>
    <col min="6" max="6" width="51.7109375" style="42" customWidth="1"/>
    <col min="7" max="7" width="11.28515625" style="41" customWidth="1"/>
    <col min="8" max="8" width="18.42578125" style="42" customWidth="1"/>
    <col min="9" max="9" width="14.28515625" style="44" customWidth="1"/>
    <col min="10" max="10" width="16" style="45" customWidth="1"/>
    <col min="11" max="11" width="14.7109375" style="45" customWidth="1"/>
    <col min="12" max="12" width="15" style="44" customWidth="1"/>
    <col min="13" max="13" width="13.42578125" style="44" customWidth="1"/>
    <col min="14" max="14" width="14.7109375" style="44" customWidth="1"/>
    <col min="15" max="15" width="15.5703125" style="44" customWidth="1"/>
    <col min="16" max="16" width="14.42578125" style="44" customWidth="1"/>
    <col min="17" max="17" width="12.5703125" style="44" customWidth="1"/>
    <col min="18" max="18" width="13.42578125" style="44" customWidth="1"/>
    <col min="19" max="19" width="13.28515625" style="44" customWidth="1"/>
    <col min="20" max="20" width="14.28515625" style="44" customWidth="1"/>
    <col min="21" max="16384" width="11.42578125" style="44"/>
  </cols>
  <sheetData>
    <row r="1" spans="2:20" ht="27" customHeight="1" x14ac:dyDescent="0.4">
      <c r="B1" s="623" t="s">
        <v>721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</row>
    <row r="2" spans="2:20" ht="27.75" customHeight="1" x14ac:dyDescent="0.25">
      <c r="C2" s="172" t="s">
        <v>601</v>
      </c>
    </row>
    <row r="3" spans="2:20" s="1" customFormat="1" ht="42.75" customHeight="1" x14ac:dyDescent="0.25">
      <c r="B3" s="229" t="s">
        <v>198</v>
      </c>
      <c r="C3" s="229" t="s">
        <v>36</v>
      </c>
      <c r="D3" s="229" t="s">
        <v>53</v>
      </c>
      <c r="E3" s="229" t="s">
        <v>37</v>
      </c>
      <c r="F3" s="229" t="s">
        <v>38</v>
      </c>
      <c r="G3" s="229" t="s">
        <v>95</v>
      </c>
      <c r="H3" s="229" t="s">
        <v>39</v>
      </c>
      <c r="I3" s="335" t="s">
        <v>581</v>
      </c>
      <c r="J3" s="275" t="s">
        <v>114</v>
      </c>
      <c r="K3" s="275" t="s">
        <v>488</v>
      </c>
      <c r="L3" s="495" t="s">
        <v>518</v>
      </c>
      <c r="M3" s="495" t="s">
        <v>527</v>
      </c>
      <c r="N3" s="334" t="s">
        <v>528</v>
      </c>
      <c r="O3" s="334" t="s">
        <v>524</v>
      </c>
      <c r="P3" s="230" t="s">
        <v>529</v>
      </c>
      <c r="Q3" s="230" t="s">
        <v>530</v>
      </c>
      <c r="R3" s="230" t="s">
        <v>483</v>
      </c>
      <c r="S3" s="334" t="s">
        <v>531</v>
      </c>
      <c r="T3" s="229" t="s">
        <v>532</v>
      </c>
    </row>
    <row r="4" spans="2:20" s="1" customFormat="1" ht="22.5" customHeight="1" thickBot="1" x14ac:dyDescent="0.3">
      <c r="B4" s="360"/>
      <c r="C4" s="308"/>
      <c r="D4" s="308"/>
      <c r="E4" s="309"/>
      <c r="F4" s="361" t="s">
        <v>521</v>
      </c>
      <c r="G4" s="311"/>
      <c r="H4" s="312"/>
      <c r="I4" s="313"/>
      <c r="J4" s="314"/>
      <c r="K4" s="314"/>
      <c r="L4" s="330">
        <v>20000000</v>
      </c>
      <c r="M4" s="331">
        <f>(I4+J4)*5%</f>
        <v>0</v>
      </c>
      <c r="N4" s="332">
        <v>50000000</v>
      </c>
      <c r="O4" s="333">
        <v>20000000</v>
      </c>
      <c r="P4" s="330">
        <v>1500000</v>
      </c>
      <c r="Q4" s="330">
        <v>500000</v>
      </c>
      <c r="R4" s="330">
        <v>500000</v>
      </c>
      <c r="S4" s="319"/>
      <c r="T4" s="319"/>
    </row>
    <row r="5" spans="2:20" s="1" customFormat="1" ht="22.5" customHeight="1" x14ac:dyDescent="0.25">
      <c r="B5" s="528" t="s">
        <v>590</v>
      </c>
      <c r="C5" s="49"/>
      <c r="D5" s="398"/>
      <c r="E5" s="182" t="s">
        <v>125</v>
      </c>
      <c r="F5" s="398"/>
      <c r="G5" s="403"/>
      <c r="H5" s="398"/>
      <c r="I5" s="399"/>
      <c r="J5" s="400"/>
      <c r="K5" s="400"/>
      <c r="L5" s="404"/>
      <c r="M5" s="401">
        <f>(I5+J5)*5%</f>
        <v>0</v>
      </c>
      <c r="N5" s="405"/>
      <c r="O5" s="405"/>
      <c r="P5" s="405"/>
      <c r="Q5" s="405"/>
      <c r="R5" s="405"/>
      <c r="S5" s="402"/>
      <c r="T5" s="402"/>
    </row>
    <row r="6" spans="2:20" x14ac:dyDescent="0.25">
      <c r="B6" s="169">
        <v>1</v>
      </c>
      <c r="C6" s="91" t="s">
        <v>486</v>
      </c>
      <c r="D6" s="91" t="s">
        <v>31</v>
      </c>
      <c r="E6" s="91" t="s">
        <v>248</v>
      </c>
      <c r="F6" s="91" t="s">
        <v>249</v>
      </c>
      <c r="G6" s="169">
        <v>80370</v>
      </c>
      <c r="H6" s="91" t="s">
        <v>130</v>
      </c>
      <c r="I6" s="573"/>
      <c r="J6" s="574">
        <v>80000</v>
      </c>
      <c r="K6" s="577">
        <f>+I6+J6</f>
        <v>80000</v>
      </c>
      <c r="L6" s="176" t="s">
        <v>124</v>
      </c>
      <c r="M6" s="564">
        <f t="shared" ref="M6:M69" si="0">(I6+J6)*5%</f>
        <v>4000</v>
      </c>
      <c r="N6" s="177" t="s">
        <v>124</v>
      </c>
      <c r="O6" s="177" t="s">
        <v>124</v>
      </c>
      <c r="P6" s="177" t="s">
        <v>124</v>
      </c>
      <c r="Q6" s="177" t="s">
        <v>124</v>
      </c>
      <c r="R6" s="177" t="s">
        <v>124</v>
      </c>
      <c r="S6" s="91"/>
      <c r="T6" s="91"/>
    </row>
    <row r="7" spans="2:20" x14ac:dyDescent="0.25">
      <c r="B7" s="169">
        <v>2</v>
      </c>
      <c r="C7" s="91" t="s">
        <v>486</v>
      </c>
      <c r="D7" s="91" t="s">
        <v>31</v>
      </c>
      <c r="E7" s="91" t="s">
        <v>251</v>
      </c>
      <c r="F7" s="91" t="s">
        <v>252</v>
      </c>
      <c r="G7" s="169">
        <v>81820</v>
      </c>
      <c r="H7" s="91" t="s">
        <v>126</v>
      </c>
      <c r="I7" s="575"/>
      <c r="J7" s="564">
        <v>70000</v>
      </c>
      <c r="K7" s="578">
        <f t="shared" ref="K7:K70" si="1">+I7+J7</f>
        <v>70000</v>
      </c>
      <c r="L7" s="176" t="s">
        <v>124</v>
      </c>
      <c r="M7" s="564">
        <f t="shared" si="0"/>
        <v>3500</v>
      </c>
      <c r="N7" s="177" t="s">
        <v>124</v>
      </c>
      <c r="O7" s="177" t="s">
        <v>124</v>
      </c>
      <c r="P7" s="177" t="s">
        <v>124</v>
      </c>
      <c r="Q7" s="177" t="s">
        <v>124</v>
      </c>
      <c r="R7" s="177" t="s">
        <v>124</v>
      </c>
      <c r="S7" s="91"/>
      <c r="T7" s="91"/>
    </row>
    <row r="8" spans="2:20" x14ac:dyDescent="0.25">
      <c r="B8" s="169">
        <v>3</v>
      </c>
      <c r="C8" s="91" t="s">
        <v>486</v>
      </c>
      <c r="D8" s="91" t="s">
        <v>31</v>
      </c>
      <c r="E8" s="91" t="s">
        <v>253</v>
      </c>
      <c r="F8" s="91" t="s">
        <v>252</v>
      </c>
      <c r="G8" s="169">
        <v>81820</v>
      </c>
      <c r="H8" s="91" t="s">
        <v>126</v>
      </c>
      <c r="I8" s="575"/>
      <c r="J8" s="564">
        <v>70000</v>
      </c>
      <c r="K8" s="578">
        <f t="shared" si="1"/>
        <v>70000</v>
      </c>
      <c r="L8" s="176" t="s">
        <v>124</v>
      </c>
      <c r="M8" s="564">
        <f t="shared" si="0"/>
        <v>3500</v>
      </c>
      <c r="N8" s="177" t="s">
        <v>124</v>
      </c>
      <c r="O8" s="177" t="s">
        <v>124</v>
      </c>
      <c r="P8" s="177" t="s">
        <v>124</v>
      </c>
      <c r="Q8" s="177" t="s">
        <v>124</v>
      </c>
      <c r="R8" s="177" t="s">
        <v>124</v>
      </c>
      <c r="S8" s="91"/>
      <c r="T8" s="91"/>
    </row>
    <row r="9" spans="2:20" x14ac:dyDescent="0.25">
      <c r="B9" s="169">
        <v>4</v>
      </c>
      <c r="C9" s="91" t="s">
        <v>486</v>
      </c>
      <c r="D9" s="91" t="s">
        <v>31</v>
      </c>
      <c r="E9" s="91" t="s">
        <v>254</v>
      </c>
      <c r="F9" s="91" t="s">
        <v>252</v>
      </c>
      <c r="G9" s="169">
        <v>81820</v>
      </c>
      <c r="H9" s="91" t="s">
        <v>126</v>
      </c>
      <c r="I9" s="575"/>
      <c r="J9" s="564">
        <v>60000</v>
      </c>
      <c r="K9" s="578">
        <f t="shared" si="1"/>
        <v>60000</v>
      </c>
      <c r="L9" s="176" t="s">
        <v>124</v>
      </c>
      <c r="M9" s="564">
        <f t="shared" si="0"/>
        <v>3000</v>
      </c>
      <c r="N9" s="177" t="s">
        <v>124</v>
      </c>
      <c r="O9" s="177" t="s">
        <v>124</v>
      </c>
      <c r="P9" s="177" t="s">
        <v>124</v>
      </c>
      <c r="Q9" s="177" t="s">
        <v>124</v>
      </c>
      <c r="R9" s="177" t="s">
        <v>124</v>
      </c>
      <c r="S9" s="91"/>
      <c r="T9" s="91"/>
    </row>
    <row r="10" spans="2:20" x14ac:dyDescent="0.25">
      <c r="B10" s="169">
        <v>5</v>
      </c>
      <c r="C10" s="91" t="s">
        <v>486</v>
      </c>
      <c r="D10" s="91" t="s">
        <v>31</v>
      </c>
      <c r="E10" s="91" t="s">
        <v>255</v>
      </c>
      <c r="F10" s="91" t="s">
        <v>252</v>
      </c>
      <c r="G10" s="169">
        <v>81820</v>
      </c>
      <c r="H10" s="91" t="s">
        <v>126</v>
      </c>
      <c r="I10" s="575"/>
      <c r="J10" s="564">
        <v>60000</v>
      </c>
      <c r="K10" s="578">
        <f t="shared" si="1"/>
        <v>60000</v>
      </c>
      <c r="L10" s="176" t="s">
        <v>124</v>
      </c>
      <c r="M10" s="564">
        <f t="shared" si="0"/>
        <v>3000</v>
      </c>
      <c r="N10" s="177" t="s">
        <v>124</v>
      </c>
      <c r="O10" s="177" t="s">
        <v>124</v>
      </c>
      <c r="P10" s="177" t="s">
        <v>124</v>
      </c>
      <c r="Q10" s="177" t="s">
        <v>124</v>
      </c>
      <c r="R10" s="177" t="s">
        <v>124</v>
      </c>
      <c r="S10" s="91"/>
      <c r="T10" s="91"/>
    </row>
    <row r="11" spans="2:20" x14ac:dyDescent="0.25">
      <c r="B11" s="169">
        <v>6</v>
      </c>
      <c r="C11" s="91" t="s">
        <v>486</v>
      </c>
      <c r="D11" s="91" t="s">
        <v>31</v>
      </c>
      <c r="E11" s="91" t="s">
        <v>256</v>
      </c>
      <c r="F11" s="91" t="s">
        <v>252</v>
      </c>
      <c r="G11" s="169">
        <v>81820</v>
      </c>
      <c r="H11" s="91" t="s">
        <v>126</v>
      </c>
      <c r="I11" s="575"/>
      <c r="J11" s="564">
        <v>70000</v>
      </c>
      <c r="K11" s="578">
        <f t="shared" si="1"/>
        <v>70000</v>
      </c>
      <c r="L11" s="176" t="s">
        <v>124</v>
      </c>
      <c r="M11" s="564">
        <f t="shared" si="0"/>
        <v>3500</v>
      </c>
      <c r="N11" s="177" t="s">
        <v>124</v>
      </c>
      <c r="O11" s="177" t="s">
        <v>124</v>
      </c>
      <c r="P11" s="177" t="s">
        <v>124</v>
      </c>
      <c r="Q11" s="177" t="s">
        <v>124</v>
      </c>
      <c r="R11" s="177" t="s">
        <v>124</v>
      </c>
      <c r="S11" s="91"/>
      <c r="T11" s="91"/>
    </row>
    <row r="12" spans="2:20" x14ac:dyDescent="0.25">
      <c r="B12" s="169">
        <v>7</v>
      </c>
      <c r="C12" s="91" t="s">
        <v>486</v>
      </c>
      <c r="D12" s="91" t="s">
        <v>31</v>
      </c>
      <c r="E12" s="91" t="s">
        <v>257</v>
      </c>
      <c r="F12" s="91" t="s">
        <v>258</v>
      </c>
      <c r="G12" s="169">
        <v>81000</v>
      </c>
      <c r="H12" s="91" t="s">
        <v>4</v>
      </c>
      <c r="I12" s="575"/>
      <c r="J12" s="564">
        <v>320000</v>
      </c>
      <c r="K12" s="578">
        <f t="shared" si="1"/>
        <v>320000</v>
      </c>
      <c r="L12" s="176" t="s">
        <v>124</v>
      </c>
      <c r="M12" s="564">
        <f t="shared" si="0"/>
        <v>16000</v>
      </c>
      <c r="N12" s="177" t="s">
        <v>124</v>
      </c>
      <c r="O12" s="177" t="s">
        <v>124</v>
      </c>
      <c r="P12" s="177" t="s">
        <v>124</v>
      </c>
      <c r="Q12" s="177" t="s">
        <v>124</v>
      </c>
      <c r="R12" s="177" t="s">
        <v>124</v>
      </c>
      <c r="S12" s="91"/>
      <c r="T12" s="91"/>
    </row>
    <row r="13" spans="2:20" x14ac:dyDescent="0.25">
      <c r="B13" s="169">
        <v>8</v>
      </c>
      <c r="C13" s="91" t="s">
        <v>486</v>
      </c>
      <c r="D13" s="91" t="s">
        <v>31</v>
      </c>
      <c r="E13" s="91" t="s">
        <v>253</v>
      </c>
      <c r="F13" s="91" t="s">
        <v>260</v>
      </c>
      <c r="G13" s="169">
        <v>82700</v>
      </c>
      <c r="H13" s="91" t="s">
        <v>262</v>
      </c>
      <c r="I13" s="575"/>
      <c r="J13" s="564">
        <v>491500</v>
      </c>
      <c r="K13" s="578">
        <f t="shared" si="1"/>
        <v>491500</v>
      </c>
      <c r="L13" s="176" t="s">
        <v>124</v>
      </c>
      <c r="M13" s="564">
        <f t="shared" si="0"/>
        <v>24575</v>
      </c>
      <c r="N13" s="177" t="s">
        <v>124</v>
      </c>
      <c r="O13" s="177" t="s">
        <v>124</v>
      </c>
      <c r="P13" s="177" t="s">
        <v>124</v>
      </c>
      <c r="Q13" s="177" t="s">
        <v>124</v>
      </c>
      <c r="R13" s="177" t="s">
        <v>124</v>
      </c>
      <c r="S13" s="91"/>
      <c r="T13" s="91"/>
    </row>
    <row r="14" spans="2:20" x14ac:dyDescent="0.25">
      <c r="B14" s="169">
        <v>9</v>
      </c>
      <c r="C14" s="91" t="s">
        <v>486</v>
      </c>
      <c r="D14" s="91" t="s">
        <v>31</v>
      </c>
      <c r="E14" s="91" t="s">
        <v>493</v>
      </c>
      <c r="F14" s="91" t="s">
        <v>264</v>
      </c>
      <c r="G14" s="169">
        <v>82017</v>
      </c>
      <c r="H14" s="91" t="s">
        <v>101</v>
      </c>
      <c r="I14" s="575"/>
      <c r="J14" s="564">
        <v>960000</v>
      </c>
      <c r="K14" s="578">
        <f t="shared" si="1"/>
        <v>960000</v>
      </c>
      <c r="L14" s="176" t="s">
        <v>124</v>
      </c>
      <c r="M14" s="564">
        <f t="shared" si="0"/>
        <v>48000</v>
      </c>
      <c r="N14" s="177" t="s">
        <v>124</v>
      </c>
      <c r="O14" s="177" t="s">
        <v>124</v>
      </c>
      <c r="P14" s="177" t="s">
        <v>124</v>
      </c>
      <c r="Q14" s="177" t="s">
        <v>124</v>
      </c>
      <c r="R14" s="177" t="s">
        <v>124</v>
      </c>
      <c r="S14" s="91"/>
      <c r="T14" s="91"/>
    </row>
    <row r="15" spans="2:20" x14ac:dyDescent="0.25">
      <c r="B15" s="169">
        <v>10</v>
      </c>
      <c r="C15" s="91" t="s">
        <v>486</v>
      </c>
      <c r="D15" s="91" t="s">
        <v>31</v>
      </c>
      <c r="E15" s="91" t="s">
        <v>265</v>
      </c>
      <c r="F15" s="91" t="s">
        <v>266</v>
      </c>
      <c r="G15" s="169">
        <v>80379</v>
      </c>
      <c r="H15" s="91" t="s">
        <v>130</v>
      </c>
      <c r="I15" s="575"/>
      <c r="J15" s="564">
        <v>36200</v>
      </c>
      <c r="K15" s="578">
        <f t="shared" si="1"/>
        <v>36200</v>
      </c>
      <c r="L15" s="176" t="s">
        <v>124</v>
      </c>
      <c r="M15" s="564">
        <f t="shared" si="0"/>
        <v>1810</v>
      </c>
      <c r="N15" s="177" t="s">
        <v>124</v>
      </c>
      <c r="O15" s="177" t="s">
        <v>124</v>
      </c>
      <c r="P15" s="177" t="s">
        <v>124</v>
      </c>
      <c r="Q15" s="177" t="s">
        <v>124</v>
      </c>
      <c r="R15" s="177" t="s">
        <v>124</v>
      </c>
      <c r="S15" s="91"/>
      <c r="T15" s="91"/>
    </row>
    <row r="16" spans="2:20" x14ac:dyDescent="0.25">
      <c r="B16" s="169">
        <v>11</v>
      </c>
      <c r="C16" s="91" t="s">
        <v>486</v>
      </c>
      <c r="D16" s="91" t="s">
        <v>31</v>
      </c>
      <c r="E16" s="91" t="s">
        <v>268</v>
      </c>
      <c r="F16" s="91" t="s">
        <v>269</v>
      </c>
      <c r="G16" s="169">
        <v>81330</v>
      </c>
      <c r="H16" s="91" t="s">
        <v>34</v>
      </c>
      <c r="I16" s="575"/>
      <c r="J16" s="564">
        <v>100000</v>
      </c>
      <c r="K16" s="578">
        <f t="shared" si="1"/>
        <v>100000</v>
      </c>
      <c r="L16" s="176" t="s">
        <v>124</v>
      </c>
      <c r="M16" s="564">
        <f t="shared" si="0"/>
        <v>5000</v>
      </c>
      <c r="N16" s="177" t="s">
        <v>124</v>
      </c>
      <c r="O16" s="177" t="s">
        <v>124</v>
      </c>
      <c r="P16" s="177" t="s">
        <v>124</v>
      </c>
      <c r="Q16" s="177" t="s">
        <v>124</v>
      </c>
      <c r="R16" s="177" t="s">
        <v>124</v>
      </c>
      <c r="S16" s="91"/>
      <c r="T16" s="91"/>
    </row>
    <row r="17" spans="2:20" x14ac:dyDescent="0.25">
      <c r="B17" s="169">
        <v>12</v>
      </c>
      <c r="C17" s="91" t="s">
        <v>486</v>
      </c>
      <c r="D17" s="91" t="s">
        <v>31</v>
      </c>
      <c r="E17" s="91" t="s">
        <v>271</v>
      </c>
      <c r="F17" s="91" t="s">
        <v>272</v>
      </c>
      <c r="G17" s="169">
        <v>80128</v>
      </c>
      <c r="H17" s="91" t="s">
        <v>5</v>
      </c>
      <c r="I17" s="575"/>
      <c r="J17" s="564">
        <v>2772680</v>
      </c>
      <c r="K17" s="578">
        <f t="shared" si="1"/>
        <v>2772680</v>
      </c>
      <c r="L17" s="176" t="s">
        <v>124</v>
      </c>
      <c r="M17" s="564">
        <f t="shared" si="0"/>
        <v>138634</v>
      </c>
      <c r="N17" s="177" t="s">
        <v>124</v>
      </c>
      <c r="O17" s="177" t="s">
        <v>124</v>
      </c>
      <c r="P17" s="177" t="s">
        <v>124</v>
      </c>
      <c r="Q17" s="177" t="s">
        <v>124</v>
      </c>
      <c r="R17" s="177" t="s">
        <v>124</v>
      </c>
      <c r="S17" s="91"/>
      <c r="T17" s="91"/>
    </row>
    <row r="18" spans="2:20" x14ac:dyDescent="0.25">
      <c r="B18" s="169">
        <v>13</v>
      </c>
      <c r="C18" s="91" t="s">
        <v>486</v>
      </c>
      <c r="D18" s="91" t="s">
        <v>31</v>
      </c>
      <c r="E18" s="91" t="s">
        <v>274</v>
      </c>
      <c r="F18" s="91" t="s">
        <v>275</v>
      </c>
      <c r="G18" s="169">
        <v>81280</v>
      </c>
      <c r="H18" s="91" t="s">
        <v>34</v>
      </c>
      <c r="I18" s="575"/>
      <c r="J18" s="564">
        <v>1500000</v>
      </c>
      <c r="K18" s="578">
        <f t="shared" si="1"/>
        <v>1500000</v>
      </c>
      <c r="L18" s="176" t="s">
        <v>124</v>
      </c>
      <c r="M18" s="564">
        <f t="shared" si="0"/>
        <v>75000</v>
      </c>
      <c r="N18" s="177" t="s">
        <v>124</v>
      </c>
      <c r="O18" s="177" t="s">
        <v>124</v>
      </c>
      <c r="P18" s="177" t="s">
        <v>124</v>
      </c>
      <c r="Q18" s="177" t="s">
        <v>124</v>
      </c>
      <c r="R18" s="177" t="s">
        <v>124</v>
      </c>
      <c r="S18" s="91"/>
      <c r="T18" s="91"/>
    </row>
    <row r="19" spans="2:20" x14ac:dyDescent="0.25">
      <c r="B19" s="169">
        <v>14</v>
      </c>
      <c r="C19" s="91" t="s">
        <v>486</v>
      </c>
      <c r="D19" s="91" t="s">
        <v>31</v>
      </c>
      <c r="E19" s="91" t="s">
        <v>276</v>
      </c>
      <c r="F19" s="91" t="s">
        <v>275</v>
      </c>
      <c r="G19" s="169">
        <v>81280</v>
      </c>
      <c r="H19" s="91" t="s">
        <v>34</v>
      </c>
      <c r="I19" s="575"/>
      <c r="J19" s="564">
        <v>1500000</v>
      </c>
      <c r="K19" s="578">
        <f t="shared" si="1"/>
        <v>1500000</v>
      </c>
      <c r="L19" s="176" t="s">
        <v>124</v>
      </c>
      <c r="M19" s="564">
        <f t="shared" si="0"/>
        <v>75000</v>
      </c>
      <c r="N19" s="177" t="s">
        <v>124</v>
      </c>
      <c r="O19" s="177" t="s">
        <v>124</v>
      </c>
      <c r="P19" s="177" t="s">
        <v>124</v>
      </c>
      <c r="Q19" s="177" t="s">
        <v>124</v>
      </c>
      <c r="R19" s="177" t="s">
        <v>124</v>
      </c>
      <c r="S19" s="91"/>
      <c r="T19" s="91"/>
    </row>
    <row r="20" spans="2:20" x14ac:dyDescent="0.25">
      <c r="B20" s="169">
        <v>15</v>
      </c>
      <c r="C20" s="91" t="s">
        <v>486</v>
      </c>
      <c r="D20" s="91" t="s">
        <v>31</v>
      </c>
      <c r="E20" s="91" t="s">
        <v>366</v>
      </c>
      <c r="F20" s="91" t="s">
        <v>278</v>
      </c>
      <c r="G20" s="169">
        <v>82010</v>
      </c>
      <c r="H20" s="91" t="s">
        <v>101</v>
      </c>
      <c r="I20" s="575"/>
      <c r="J20" s="564">
        <v>580000</v>
      </c>
      <c r="K20" s="578">
        <f t="shared" si="1"/>
        <v>580000</v>
      </c>
      <c r="L20" s="176" t="s">
        <v>124</v>
      </c>
      <c r="M20" s="564">
        <f t="shared" si="0"/>
        <v>29000</v>
      </c>
      <c r="N20" s="177" t="s">
        <v>124</v>
      </c>
      <c r="O20" s="177" t="s">
        <v>124</v>
      </c>
      <c r="P20" s="177" t="s">
        <v>124</v>
      </c>
      <c r="Q20" s="177" t="s">
        <v>124</v>
      </c>
      <c r="R20" s="177" t="s">
        <v>124</v>
      </c>
      <c r="S20" s="91"/>
      <c r="T20" s="91"/>
    </row>
    <row r="21" spans="2:20" x14ac:dyDescent="0.25">
      <c r="B21" s="169">
        <v>16</v>
      </c>
      <c r="C21" s="91" t="s">
        <v>486</v>
      </c>
      <c r="D21" s="91" t="s">
        <v>31</v>
      </c>
      <c r="E21" s="91" t="s">
        <v>494</v>
      </c>
      <c r="F21" s="91" t="s">
        <v>280</v>
      </c>
      <c r="G21" s="169">
        <v>81280</v>
      </c>
      <c r="H21" s="91" t="s">
        <v>34</v>
      </c>
      <c r="I21" s="575"/>
      <c r="J21" s="564">
        <v>250500</v>
      </c>
      <c r="K21" s="578">
        <f t="shared" si="1"/>
        <v>250500</v>
      </c>
      <c r="L21" s="176" t="s">
        <v>124</v>
      </c>
      <c r="M21" s="564">
        <f t="shared" si="0"/>
        <v>12525</v>
      </c>
      <c r="N21" s="177" t="s">
        <v>124</v>
      </c>
      <c r="O21" s="177" t="s">
        <v>124</v>
      </c>
      <c r="P21" s="177" t="s">
        <v>124</v>
      </c>
      <c r="Q21" s="177" t="s">
        <v>124</v>
      </c>
      <c r="R21" s="177" t="s">
        <v>124</v>
      </c>
      <c r="S21" s="91"/>
      <c r="T21" s="91"/>
    </row>
    <row r="22" spans="2:20" x14ac:dyDescent="0.25">
      <c r="B22" s="169">
        <v>17</v>
      </c>
      <c r="C22" s="91" t="s">
        <v>486</v>
      </c>
      <c r="D22" s="91" t="s">
        <v>31</v>
      </c>
      <c r="E22" s="91" t="s">
        <v>281</v>
      </c>
      <c r="F22" s="91" t="s">
        <v>282</v>
      </c>
      <c r="G22" s="169">
        <v>80129</v>
      </c>
      <c r="H22" s="91" t="s">
        <v>5</v>
      </c>
      <c r="I22" s="575"/>
      <c r="J22" s="564">
        <v>295400</v>
      </c>
      <c r="K22" s="578">
        <f t="shared" si="1"/>
        <v>295400</v>
      </c>
      <c r="L22" s="176" t="s">
        <v>124</v>
      </c>
      <c r="M22" s="564">
        <f t="shared" si="0"/>
        <v>14770</v>
      </c>
      <c r="N22" s="177" t="s">
        <v>124</v>
      </c>
      <c r="O22" s="177" t="s">
        <v>124</v>
      </c>
      <c r="P22" s="177" t="s">
        <v>124</v>
      </c>
      <c r="Q22" s="177" t="s">
        <v>124</v>
      </c>
      <c r="R22" s="177" t="s">
        <v>124</v>
      </c>
      <c r="S22" s="91"/>
      <c r="T22" s="91"/>
    </row>
    <row r="23" spans="2:20" x14ac:dyDescent="0.25">
      <c r="B23" s="169">
        <v>18</v>
      </c>
      <c r="C23" s="91" t="s">
        <v>486</v>
      </c>
      <c r="D23" s="91" t="s">
        <v>31</v>
      </c>
      <c r="E23" s="91" t="s">
        <v>283</v>
      </c>
      <c r="F23" s="91" t="s">
        <v>284</v>
      </c>
      <c r="G23" s="169">
        <v>82530</v>
      </c>
      <c r="H23" s="91" t="s">
        <v>47</v>
      </c>
      <c r="I23" s="575"/>
      <c r="J23" s="564">
        <v>4720000</v>
      </c>
      <c r="K23" s="578">
        <f t="shared" si="1"/>
        <v>4720000</v>
      </c>
      <c r="L23" s="176" t="s">
        <v>124</v>
      </c>
      <c r="M23" s="564">
        <f t="shared" si="0"/>
        <v>236000</v>
      </c>
      <c r="N23" s="177" t="s">
        <v>124</v>
      </c>
      <c r="O23" s="177" t="s">
        <v>124</v>
      </c>
      <c r="P23" s="177" t="s">
        <v>124</v>
      </c>
      <c r="Q23" s="177" t="s">
        <v>124</v>
      </c>
      <c r="R23" s="177" t="s">
        <v>124</v>
      </c>
      <c r="S23" s="91"/>
      <c r="T23" s="91"/>
    </row>
    <row r="24" spans="2:20" x14ac:dyDescent="0.25">
      <c r="B24" s="169">
        <v>19</v>
      </c>
      <c r="C24" s="91" t="s">
        <v>486</v>
      </c>
      <c r="D24" s="91" t="s">
        <v>31</v>
      </c>
      <c r="E24" s="91" t="s">
        <v>286</v>
      </c>
      <c r="F24" s="91" t="s">
        <v>287</v>
      </c>
      <c r="G24" s="169">
        <v>80139</v>
      </c>
      <c r="H24" s="91" t="s">
        <v>5</v>
      </c>
      <c r="I24" s="575"/>
      <c r="J24" s="564">
        <v>8600000</v>
      </c>
      <c r="K24" s="578">
        <f t="shared" si="1"/>
        <v>8600000</v>
      </c>
      <c r="L24" s="176" t="s">
        <v>124</v>
      </c>
      <c r="M24" s="564">
        <f t="shared" si="0"/>
        <v>430000</v>
      </c>
      <c r="N24" s="177" t="s">
        <v>124</v>
      </c>
      <c r="O24" s="177" t="s">
        <v>124</v>
      </c>
      <c r="P24" s="177" t="s">
        <v>124</v>
      </c>
      <c r="Q24" s="177" t="s">
        <v>124</v>
      </c>
      <c r="R24" s="177" t="s">
        <v>124</v>
      </c>
      <c r="S24" s="91"/>
      <c r="T24" s="91"/>
    </row>
    <row r="25" spans="2:20" x14ac:dyDescent="0.25">
      <c r="B25" s="169">
        <v>20</v>
      </c>
      <c r="C25" s="91" t="s">
        <v>486</v>
      </c>
      <c r="D25" s="91" t="s">
        <v>31</v>
      </c>
      <c r="E25" s="91" t="s">
        <v>288</v>
      </c>
      <c r="F25" s="91" t="s">
        <v>289</v>
      </c>
      <c r="G25" s="169">
        <v>81805</v>
      </c>
      <c r="H25" s="91" t="s">
        <v>126</v>
      </c>
      <c r="I25" s="575"/>
      <c r="J25" s="564">
        <v>2320000</v>
      </c>
      <c r="K25" s="578">
        <f t="shared" si="1"/>
        <v>2320000</v>
      </c>
      <c r="L25" s="176" t="s">
        <v>124</v>
      </c>
      <c r="M25" s="564">
        <f t="shared" si="0"/>
        <v>116000</v>
      </c>
      <c r="N25" s="177" t="s">
        <v>124</v>
      </c>
      <c r="O25" s="177" t="s">
        <v>124</v>
      </c>
      <c r="P25" s="177" t="s">
        <v>124</v>
      </c>
      <c r="Q25" s="177" t="s">
        <v>124</v>
      </c>
      <c r="R25" s="177" t="s">
        <v>124</v>
      </c>
      <c r="S25" s="91"/>
      <c r="T25" s="91"/>
    </row>
    <row r="26" spans="2:20" x14ac:dyDescent="0.25">
      <c r="B26" s="169">
        <v>21</v>
      </c>
      <c r="C26" s="91" t="s">
        <v>486</v>
      </c>
      <c r="D26" s="91" t="s">
        <v>31</v>
      </c>
      <c r="E26" s="91" t="s">
        <v>290</v>
      </c>
      <c r="F26" s="91" t="s">
        <v>291</v>
      </c>
      <c r="G26" s="169">
        <v>82320</v>
      </c>
      <c r="H26" s="91" t="s">
        <v>101</v>
      </c>
      <c r="I26" s="575"/>
      <c r="J26" s="564">
        <v>1640000</v>
      </c>
      <c r="K26" s="578">
        <f t="shared" si="1"/>
        <v>1640000</v>
      </c>
      <c r="L26" s="176" t="s">
        <v>124</v>
      </c>
      <c r="M26" s="564">
        <f t="shared" si="0"/>
        <v>82000</v>
      </c>
      <c r="N26" s="177" t="s">
        <v>124</v>
      </c>
      <c r="O26" s="177" t="s">
        <v>124</v>
      </c>
      <c r="P26" s="177" t="s">
        <v>124</v>
      </c>
      <c r="Q26" s="177" t="s">
        <v>124</v>
      </c>
      <c r="R26" s="177" t="s">
        <v>124</v>
      </c>
      <c r="S26" s="91"/>
      <c r="T26" s="91"/>
    </row>
    <row r="27" spans="2:20" x14ac:dyDescent="0.25">
      <c r="B27" s="169">
        <v>22</v>
      </c>
      <c r="C27" s="91" t="s">
        <v>486</v>
      </c>
      <c r="D27" s="91" t="s">
        <v>31</v>
      </c>
      <c r="E27" s="91" t="s">
        <v>293</v>
      </c>
      <c r="F27" s="91" t="s">
        <v>294</v>
      </c>
      <c r="G27" s="169">
        <v>81300</v>
      </c>
      <c r="H27" s="91" t="s">
        <v>34</v>
      </c>
      <c r="I27" s="575"/>
      <c r="J27" s="564">
        <v>1480000</v>
      </c>
      <c r="K27" s="578">
        <f t="shared" si="1"/>
        <v>1480000</v>
      </c>
      <c r="L27" s="176" t="s">
        <v>124</v>
      </c>
      <c r="M27" s="564">
        <f t="shared" si="0"/>
        <v>74000</v>
      </c>
      <c r="N27" s="177" t="s">
        <v>124</v>
      </c>
      <c r="O27" s="177" t="s">
        <v>124</v>
      </c>
      <c r="P27" s="177" t="s">
        <v>124</v>
      </c>
      <c r="Q27" s="177" t="s">
        <v>124</v>
      </c>
      <c r="R27" s="177" t="s">
        <v>124</v>
      </c>
      <c r="S27" s="91"/>
      <c r="T27" s="91"/>
    </row>
    <row r="28" spans="2:20" x14ac:dyDescent="0.25">
      <c r="B28" s="169">
        <v>23</v>
      </c>
      <c r="C28" s="91" t="s">
        <v>486</v>
      </c>
      <c r="D28" s="91" t="s">
        <v>31</v>
      </c>
      <c r="E28" s="91" t="s">
        <v>295</v>
      </c>
      <c r="F28" s="91" t="s">
        <v>296</v>
      </c>
      <c r="G28" s="169">
        <v>81610</v>
      </c>
      <c r="H28" s="91" t="s">
        <v>35</v>
      </c>
      <c r="I28" s="575"/>
      <c r="J28" s="564">
        <v>6880000</v>
      </c>
      <c r="K28" s="578">
        <f t="shared" si="1"/>
        <v>6880000</v>
      </c>
      <c r="L28" s="176" t="s">
        <v>124</v>
      </c>
      <c r="M28" s="564">
        <f t="shared" si="0"/>
        <v>344000</v>
      </c>
      <c r="N28" s="177" t="s">
        <v>124</v>
      </c>
      <c r="O28" s="177" t="s">
        <v>124</v>
      </c>
      <c r="P28" s="177" t="s">
        <v>124</v>
      </c>
      <c r="Q28" s="177" t="s">
        <v>124</v>
      </c>
      <c r="R28" s="177" t="s">
        <v>124</v>
      </c>
      <c r="S28" s="91"/>
      <c r="T28" s="91"/>
    </row>
    <row r="29" spans="2:20" x14ac:dyDescent="0.25">
      <c r="B29" s="169">
        <v>24</v>
      </c>
      <c r="C29" s="91" t="s">
        <v>486</v>
      </c>
      <c r="D29" s="91" t="s">
        <v>31</v>
      </c>
      <c r="E29" s="91" t="s">
        <v>298</v>
      </c>
      <c r="F29" s="91" t="s">
        <v>299</v>
      </c>
      <c r="G29" s="169">
        <v>81199</v>
      </c>
      <c r="H29" s="91" t="s">
        <v>5</v>
      </c>
      <c r="I29" s="575"/>
      <c r="J29" s="564">
        <v>960000</v>
      </c>
      <c r="K29" s="578">
        <f t="shared" si="1"/>
        <v>960000</v>
      </c>
      <c r="L29" s="176" t="s">
        <v>124</v>
      </c>
      <c r="M29" s="564">
        <f t="shared" si="0"/>
        <v>48000</v>
      </c>
      <c r="N29" s="177" t="s">
        <v>124</v>
      </c>
      <c r="O29" s="177" t="s">
        <v>124</v>
      </c>
      <c r="P29" s="177" t="s">
        <v>124</v>
      </c>
      <c r="Q29" s="177" t="s">
        <v>124</v>
      </c>
      <c r="R29" s="177" t="s">
        <v>124</v>
      </c>
      <c r="S29" s="91"/>
      <c r="T29" s="91"/>
    </row>
    <row r="30" spans="2:20" x14ac:dyDescent="0.25">
      <c r="B30" s="169">
        <v>25</v>
      </c>
      <c r="C30" s="91" t="s">
        <v>486</v>
      </c>
      <c r="D30" s="91" t="s">
        <v>31</v>
      </c>
      <c r="E30" s="91" t="s">
        <v>301</v>
      </c>
      <c r="F30" s="91" t="s">
        <v>299</v>
      </c>
      <c r="G30" s="169">
        <v>81199</v>
      </c>
      <c r="H30" s="91" t="s">
        <v>5</v>
      </c>
      <c r="I30" s="575"/>
      <c r="J30" s="564">
        <v>4560000</v>
      </c>
      <c r="K30" s="578">
        <f t="shared" si="1"/>
        <v>4560000</v>
      </c>
      <c r="L30" s="176" t="s">
        <v>124</v>
      </c>
      <c r="M30" s="564">
        <f t="shared" si="0"/>
        <v>228000</v>
      </c>
      <c r="N30" s="177" t="s">
        <v>124</v>
      </c>
      <c r="O30" s="177" t="s">
        <v>124</v>
      </c>
      <c r="P30" s="177" t="s">
        <v>124</v>
      </c>
      <c r="Q30" s="177" t="s">
        <v>124</v>
      </c>
      <c r="R30" s="177" t="s">
        <v>124</v>
      </c>
      <c r="S30" s="91"/>
      <c r="T30" s="91"/>
    </row>
    <row r="31" spans="2:20" x14ac:dyDescent="0.25">
      <c r="B31" s="169">
        <v>26</v>
      </c>
      <c r="C31" s="91" t="s">
        <v>486</v>
      </c>
      <c r="D31" s="91" t="s">
        <v>31</v>
      </c>
      <c r="E31" s="91" t="s">
        <v>302</v>
      </c>
      <c r="F31" s="91" t="s">
        <v>299</v>
      </c>
      <c r="G31" s="169">
        <v>81199</v>
      </c>
      <c r="H31" s="91" t="s">
        <v>5</v>
      </c>
      <c r="I31" s="575"/>
      <c r="J31" s="564">
        <v>4400000</v>
      </c>
      <c r="K31" s="578">
        <f t="shared" si="1"/>
        <v>4400000</v>
      </c>
      <c r="L31" s="176" t="s">
        <v>124</v>
      </c>
      <c r="M31" s="564">
        <f t="shared" si="0"/>
        <v>220000</v>
      </c>
      <c r="N31" s="177" t="s">
        <v>124</v>
      </c>
      <c r="O31" s="177" t="s">
        <v>124</v>
      </c>
      <c r="P31" s="177" t="s">
        <v>124</v>
      </c>
      <c r="Q31" s="177" t="s">
        <v>124</v>
      </c>
      <c r="R31" s="177" t="s">
        <v>124</v>
      </c>
      <c r="S31" s="91"/>
      <c r="T31" s="91"/>
    </row>
    <row r="32" spans="2:20" x14ac:dyDescent="0.25">
      <c r="B32" s="169">
        <v>27</v>
      </c>
      <c r="C32" s="91" t="s">
        <v>486</v>
      </c>
      <c r="D32" s="91" t="s">
        <v>31</v>
      </c>
      <c r="E32" s="91" t="s">
        <v>127</v>
      </c>
      <c r="F32" s="91" t="s">
        <v>304</v>
      </c>
      <c r="G32" s="169">
        <v>80016</v>
      </c>
      <c r="H32" s="91" t="s">
        <v>5</v>
      </c>
      <c r="I32" s="575"/>
      <c r="J32" s="564">
        <v>1800000</v>
      </c>
      <c r="K32" s="578">
        <f t="shared" si="1"/>
        <v>1800000</v>
      </c>
      <c r="L32" s="176" t="s">
        <v>124</v>
      </c>
      <c r="M32" s="564">
        <f t="shared" si="0"/>
        <v>90000</v>
      </c>
      <c r="N32" s="177" t="s">
        <v>124</v>
      </c>
      <c r="O32" s="177" t="s">
        <v>124</v>
      </c>
      <c r="P32" s="177" t="s">
        <v>124</v>
      </c>
      <c r="Q32" s="177" t="s">
        <v>124</v>
      </c>
      <c r="R32" s="177" t="s">
        <v>124</v>
      </c>
      <c r="S32" s="91"/>
      <c r="T32" s="91"/>
    </row>
    <row r="33" spans="2:20" x14ac:dyDescent="0.25">
      <c r="B33" s="169">
        <v>28</v>
      </c>
      <c r="C33" s="91" t="s">
        <v>486</v>
      </c>
      <c r="D33" s="91" t="s">
        <v>31</v>
      </c>
      <c r="E33" s="91" t="s">
        <v>305</v>
      </c>
      <c r="F33" s="91" t="s">
        <v>306</v>
      </c>
      <c r="G33" s="169">
        <v>80000</v>
      </c>
      <c r="H33" s="91" t="s">
        <v>5</v>
      </c>
      <c r="I33" s="575"/>
      <c r="J33" s="564">
        <v>280000</v>
      </c>
      <c r="K33" s="578">
        <f t="shared" si="1"/>
        <v>280000</v>
      </c>
      <c r="L33" s="176" t="s">
        <v>124</v>
      </c>
      <c r="M33" s="564">
        <f t="shared" si="0"/>
        <v>14000</v>
      </c>
      <c r="N33" s="177" t="s">
        <v>124</v>
      </c>
      <c r="O33" s="177" t="s">
        <v>124</v>
      </c>
      <c r="P33" s="177" t="s">
        <v>124</v>
      </c>
      <c r="Q33" s="177" t="s">
        <v>124</v>
      </c>
      <c r="R33" s="177" t="s">
        <v>124</v>
      </c>
      <c r="S33" s="91"/>
      <c r="T33" s="91"/>
    </row>
    <row r="34" spans="2:20" x14ac:dyDescent="0.25">
      <c r="B34" s="169">
        <v>29</v>
      </c>
      <c r="C34" s="91" t="s">
        <v>486</v>
      </c>
      <c r="D34" s="91" t="s">
        <v>31</v>
      </c>
      <c r="E34" s="91" t="s">
        <v>495</v>
      </c>
      <c r="F34" s="91" t="s">
        <v>308</v>
      </c>
      <c r="G34" s="169">
        <v>80349</v>
      </c>
      <c r="H34" s="91" t="s">
        <v>130</v>
      </c>
      <c r="I34" s="575"/>
      <c r="J34" s="564">
        <v>1598400</v>
      </c>
      <c r="K34" s="578">
        <f t="shared" si="1"/>
        <v>1598400</v>
      </c>
      <c r="L34" s="176" t="s">
        <v>124</v>
      </c>
      <c r="M34" s="564">
        <f t="shared" si="0"/>
        <v>79920</v>
      </c>
      <c r="N34" s="177" t="s">
        <v>124</v>
      </c>
      <c r="O34" s="177" t="s">
        <v>124</v>
      </c>
      <c r="P34" s="177" t="s">
        <v>124</v>
      </c>
      <c r="Q34" s="177" t="s">
        <v>124</v>
      </c>
      <c r="R34" s="177" t="s">
        <v>124</v>
      </c>
      <c r="S34" s="91"/>
      <c r="T34" s="91"/>
    </row>
    <row r="35" spans="2:20" x14ac:dyDescent="0.25">
      <c r="B35" s="169">
        <v>30</v>
      </c>
      <c r="C35" s="91" t="s">
        <v>486</v>
      </c>
      <c r="D35" s="91" t="s">
        <v>31</v>
      </c>
      <c r="E35" s="91" t="s">
        <v>309</v>
      </c>
      <c r="F35" s="91" t="s">
        <v>310</v>
      </c>
      <c r="G35" s="169">
        <v>81200</v>
      </c>
      <c r="H35" s="91" t="s">
        <v>34</v>
      </c>
      <c r="I35" s="575"/>
      <c r="J35" s="564">
        <v>2500000</v>
      </c>
      <c r="K35" s="578">
        <f t="shared" si="1"/>
        <v>2500000</v>
      </c>
      <c r="L35" s="176" t="s">
        <v>124</v>
      </c>
      <c r="M35" s="564">
        <f t="shared" si="0"/>
        <v>125000</v>
      </c>
      <c r="N35" s="177" t="s">
        <v>124</v>
      </c>
      <c r="O35" s="177" t="s">
        <v>124</v>
      </c>
      <c r="P35" s="177" t="s">
        <v>124</v>
      </c>
      <c r="Q35" s="177" t="s">
        <v>124</v>
      </c>
      <c r="R35" s="177" t="s">
        <v>124</v>
      </c>
      <c r="S35" s="91"/>
      <c r="T35" s="91"/>
    </row>
    <row r="36" spans="2:20" x14ac:dyDescent="0.25">
      <c r="B36" s="169">
        <v>31</v>
      </c>
      <c r="C36" s="91" t="s">
        <v>486</v>
      </c>
      <c r="D36" s="91" t="s">
        <v>31</v>
      </c>
      <c r="E36" s="91" t="s">
        <v>268</v>
      </c>
      <c r="F36" s="91" t="s">
        <v>311</v>
      </c>
      <c r="G36" s="169">
        <v>80950</v>
      </c>
      <c r="H36" s="91" t="s">
        <v>49</v>
      </c>
      <c r="I36" s="575"/>
      <c r="J36" s="564">
        <v>406240</v>
      </c>
      <c r="K36" s="578">
        <f t="shared" si="1"/>
        <v>406240</v>
      </c>
      <c r="L36" s="176" t="s">
        <v>124</v>
      </c>
      <c r="M36" s="564">
        <f t="shared" si="0"/>
        <v>20312</v>
      </c>
      <c r="N36" s="177" t="s">
        <v>124</v>
      </c>
      <c r="O36" s="177" t="s">
        <v>124</v>
      </c>
      <c r="P36" s="177" t="s">
        <v>124</v>
      </c>
      <c r="Q36" s="177" t="s">
        <v>124</v>
      </c>
      <c r="R36" s="177" t="s">
        <v>124</v>
      </c>
      <c r="S36" s="91"/>
      <c r="T36" s="91"/>
    </row>
    <row r="37" spans="2:20" x14ac:dyDescent="0.25">
      <c r="B37" s="169">
        <v>32</v>
      </c>
      <c r="C37" s="91" t="s">
        <v>486</v>
      </c>
      <c r="D37" s="91" t="s">
        <v>31</v>
      </c>
      <c r="E37" s="91" t="s">
        <v>313</v>
      </c>
      <c r="F37" s="91" t="s">
        <v>311</v>
      </c>
      <c r="G37" s="169">
        <v>80950</v>
      </c>
      <c r="H37" s="91" t="s">
        <v>49</v>
      </c>
      <c r="I37" s="575"/>
      <c r="J37" s="564">
        <v>818700</v>
      </c>
      <c r="K37" s="578">
        <f t="shared" si="1"/>
        <v>818700</v>
      </c>
      <c r="L37" s="176" t="s">
        <v>124</v>
      </c>
      <c r="M37" s="564">
        <f t="shared" si="0"/>
        <v>40935</v>
      </c>
      <c r="N37" s="177" t="s">
        <v>124</v>
      </c>
      <c r="O37" s="177" t="s">
        <v>124</v>
      </c>
      <c r="P37" s="177" t="s">
        <v>124</v>
      </c>
      <c r="Q37" s="177" t="s">
        <v>124</v>
      </c>
      <c r="R37" s="177" t="s">
        <v>124</v>
      </c>
      <c r="S37" s="91"/>
      <c r="T37" s="91"/>
    </row>
    <row r="38" spans="2:20" x14ac:dyDescent="0.25">
      <c r="B38" s="169">
        <v>33</v>
      </c>
      <c r="C38" s="91" t="s">
        <v>486</v>
      </c>
      <c r="D38" s="91" t="s">
        <v>31</v>
      </c>
      <c r="E38" s="91" t="s">
        <v>314</v>
      </c>
      <c r="F38" s="91" t="s">
        <v>311</v>
      </c>
      <c r="G38" s="169">
        <v>80950</v>
      </c>
      <c r="H38" s="91" t="s">
        <v>49</v>
      </c>
      <c r="I38" s="575"/>
      <c r="J38" s="564">
        <v>64000</v>
      </c>
      <c r="K38" s="578">
        <f t="shared" si="1"/>
        <v>64000</v>
      </c>
      <c r="L38" s="176" t="s">
        <v>124</v>
      </c>
      <c r="M38" s="564">
        <f t="shared" si="0"/>
        <v>3200</v>
      </c>
      <c r="N38" s="177" t="s">
        <v>124</v>
      </c>
      <c r="O38" s="177" t="s">
        <v>124</v>
      </c>
      <c r="P38" s="177" t="s">
        <v>124</v>
      </c>
      <c r="Q38" s="177" t="s">
        <v>124</v>
      </c>
      <c r="R38" s="177" t="s">
        <v>124</v>
      </c>
      <c r="S38" s="91"/>
      <c r="T38" s="91"/>
    </row>
    <row r="39" spans="2:20" x14ac:dyDescent="0.25">
      <c r="B39" s="169">
        <v>34</v>
      </c>
      <c r="C39" s="91" t="s">
        <v>486</v>
      </c>
      <c r="D39" s="91" t="s">
        <v>31</v>
      </c>
      <c r="E39" s="91" t="s">
        <v>315</v>
      </c>
      <c r="F39" s="91" t="s">
        <v>316</v>
      </c>
      <c r="G39" s="169">
        <v>81000</v>
      </c>
      <c r="H39" s="91" t="s">
        <v>4</v>
      </c>
      <c r="I39" s="575"/>
      <c r="J39" s="564">
        <v>895980</v>
      </c>
      <c r="K39" s="578">
        <f t="shared" si="1"/>
        <v>895980</v>
      </c>
      <c r="L39" s="176" t="s">
        <v>124</v>
      </c>
      <c r="M39" s="564">
        <f t="shared" si="0"/>
        <v>44799</v>
      </c>
      <c r="N39" s="177" t="s">
        <v>124</v>
      </c>
      <c r="O39" s="177" t="s">
        <v>124</v>
      </c>
      <c r="P39" s="177" t="s">
        <v>124</v>
      </c>
      <c r="Q39" s="177" t="s">
        <v>124</v>
      </c>
      <c r="R39" s="177" t="s">
        <v>124</v>
      </c>
      <c r="S39" s="91"/>
      <c r="T39" s="91"/>
    </row>
    <row r="40" spans="2:20" x14ac:dyDescent="0.25">
      <c r="B40" s="169">
        <v>35</v>
      </c>
      <c r="C40" s="91" t="s">
        <v>486</v>
      </c>
      <c r="D40" s="91" t="s">
        <v>31</v>
      </c>
      <c r="E40" s="91" t="s">
        <v>496</v>
      </c>
      <c r="F40" s="91" t="s">
        <v>128</v>
      </c>
      <c r="G40" s="169">
        <v>80400</v>
      </c>
      <c r="H40" s="91" t="s">
        <v>189</v>
      </c>
      <c r="I40" s="575"/>
      <c r="J40" s="564">
        <v>720000</v>
      </c>
      <c r="K40" s="578">
        <f t="shared" si="1"/>
        <v>720000</v>
      </c>
      <c r="L40" s="176" t="s">
        <v>124</v>
      </c>
      <c r="M40" s="564">
        <f t="shared" si="0"/>
        <v>36000</v>
      </c>
      <c r="N40" s="177" t="s">
        <v>124</v>
      </c>
      <c r="O40" s="177" t="s">
        <v>124</v>
      </c>
      <c r="P40" s="177" t="s">
        <v>124</v>
      </c>
      <c r="Q40" s="177" t="s">
        <v>124</v>
      </c>
      <c r="R40" s="177" t="s">
        <v>124</v>
      </c>
      <c r="S40" s="91"/>
      <c r="T40" s="91"/>
    </row>
    <row r="41" spans="2:20" x14ac:dyDescent="0.25">
      <c r="B41" s="169">
        <v>36</v>
      </c>
      <c r="C41" s="91" t="s">
        <v>486</v>
      </c>
      <c r="D41" s="91" t="s">
        <v>31</v>
      </c>
      <c r="E41" s="91" t="s">
        <v>319</v>
      </c>
      <c r="F41" s="91" t="s">
        <v>320</v>
      </c>
      <c r="G41" s="169">
        <v>82700</v>
      </c>
      <c r="H41" s="91" t="s">
        <v>262</v>
      </c>
      <c r="I41" s="575"/>
      <c r="J41" s="564">
        <v>483020</v>
      </c>
      <c r="K41" s="578">
        <f t="shared" si="1"/>
        <v>483020</v>
      </c>
      <c r="L41" s="176" t="s">
        <v>124</v>
      </c>
      <c r="M41" s="564">
        <f t="shared" si="0"/>
        <v>24151</v>
      </c>
      <c r="N41" s="177" t="s">
        <v>124</v>
      </c>
      <c r="O41" s="177" t="s">
        <v>124</v>
      </c>
      <c r="P41" s="177" t="s">
        <v>124</v>
      </c>
      <c r="Q41" s="177" t="s">
        <v>124</v>
      </c>
      <c r="R41" s="177" t="s">
        <v>124</v>
      </c>
      <c r="S41" s="91"/>
      <c r="T41" s="91"/>
    </row>
    <row r="42" spans="2:20" x14ac:dyDescent="0.25">
      <c r="B42" s="169">
        <v>37</v>
      </c>
      <c r="C42" s="91" t="s">
        <v>486</v>
      </c>
      <c r="D42" s="91" t="s">
        <v>31</v>
      </c>
      <c r="E42" s="91" t="s">
        <v>321</v>
      </c>
      <c r="F42" s="91" t="s">
        <v>322</v>
      </c>
      <c r="G42" s="169">
        <v>81270</v>
      </c>
      <c r="H42" s="91" t="s">
        <v>34</v>
      </c>
      <c r="I42" s="575"/>
      <c r="J42" s="564">
        <v>483020</v>
      </c>
      <c r="K42" s="578">
        <f t="shared" si="1"/>
        <v>483020</v>
      </c>
      <c r="L42" s="176" t="s">
        <v>124</v>
      </c>
      <c r="M42" s="564">
        <f t="shared" si="0"/>
        <v>24151</v>
      </c>
      <c r="N42" s="177" t="s">
        <v>124</v>
      </c>
      <c r="O42" s="177" t="s">
        <v>124</v>
      </c>
      <c r="P42" s="177" t="s">
        <v>124</v>
      </c>
      <c r="Q42" s="177" t="s">
        <v>124</v>
      </c>
      <c r="R42" s="177" t="s">
        <v>124</v>
      </c>
      <c r="S42" s="91"/>
      <c r="T42" s="91"/>
    </row>
    <row r="43" spans="2:20" x14ac:dyDescent="0.25">
      <c r="B43" s="169">
        <v>38</v>
      </c>
      <c r="C43" s="91" t="s">
        <v>486</v>
      </c>
      <c r="D43" s="91" t="s">
        <v>31</v>
      </c>
      <c r="E43" s="91" t="s">
        <v>323</v>
      </c>
      <c r="F43" s="91" t="s">
        <v>324</v>
      </c>
      <c r="G43" s="169">
        <v>82017</v>
      </c>
      <c r="H43" s="91" t="s">
        <v>101</v>
      </c>
      <c r="I43" s="575"/>
      <c r="J43" s="564">
        <v>146700</v>
      </c>
      <c r="K43" s="578">
        <f t="shared" si="1"/>
        <v>146700</v>
      </c>
      <c r="L43" s="176" t="s">
        <v>124</v>
      </c>
      <c r="M43" s="564">
        <f t="shared" si="0"/>
        <v>7335</v>
      </c>
      <c r="N43" s="177" t="s">
        <v>124</v>
      </c>
      <c r="O43" s="177" t="s">
        <v>124</v>
      </c>
      <c r="P43" s="177" t="s">
        <v>124</v>
      </c>
      <c r="Q43" s="177" t="s">
        <v>124</v>
      </c>
      <c r="R43" s="177" t="s">
        <v>124</v>
      </c>
      <c r="S43" s="91"/>
      <c r="T43" s="91"/>
    </row>
    <row r="44" spans="2:20" x14ac:dyDescent="0.25">
      <c r="B44" s="169">
        <v>39</v>
      </c>
      <c r="C44" s="91" t="s">
        <v>486</v>
      </c>
      <c r="D44" s="91" t="s">
        <v>31</v>
      </c>
      <c r="E44" s="91" t="s">
        <v>129</v>
      </c>
      <c r="F44" s="91" t="s">
        <v>325</v>
      </c>
      <c r="G44" s="169">
        <v>82017</v>
      </c>
      <c r="H44" s="91" t="s">
        <v>101</v>
      </c>
      <c r="I44" s="575"/>
      <c r="J44" s="564">
        <v>1091020</v>
      </c>
      <c r="K44" s="578">
        <f t="shared" si="1"/>
        <v>1091020</v>
      </c>
      <c r="L44" s="176" t="s">
        <v>124</v>
      </c>
      <c r="M44" s="564">
        <f t="shared" si="0"/>
        <v>54551</v>
      </c>
      <c r="N44" s="177" t="s">
        <v>124</v>
      </c>
      <c r="O44" s="177" t="s">
        <v>124</v>
      </c>
      <c r="P44" s="177" t="s">
        <v>124</v>
      </c>
      <c r="Q44" s="177" t="s">
        <v>124</v>
      </c>
      <c r="R44" s="177" t="s">
        <v>124</v>
      </c>
      <c r="S44" s="91"/>
      <c r="T44" s="91"/>
    </row>
    <row r="45" spans="2:20" x14ac:dyDescent="0.25">
      <c r="B45" s="169">
        <v>40</v>
      </c>
      <c r="C45" s="91" t="s">
        <v>486</v>
      </c>
      <c r="D45" s="91" t="s">
        <v>31</v>
      </c>
      <c r="E45" s="91" t="s">
        <v>326</v>
      </c>
      <c r="F45" s="91" t="s">
        <v>327</v>
      </c>
      <c r="G45" s="169">
        <v>82016</v>
      </c>
      <c r="H45" s="91" t="s">
        <v>101</v>
      </c>
      <c r="I45" s="575"/>
      <c r="J45" s="564">
        <v>74000</v>
      </c>
      <c r="K45" s="578">
        <f t="shared" si="1"/>
        <v>74000</v>
      </c>
      <c r="L45" s="176" t="s">
        <v>124</v>
      </c>
      <c r="M45" s="564">
        <f t="shared" si="0"/>
        <v>3700</v>
      </c>
      <c r="N45" s="177" t="s">
        <v>124</v>
      </c>
      <c r="O45" s="177" t="s">
        <v>124</v>
      </c>
      <c r="P45" s="177" t="s">
        <v>124</v>
      </c>
      <c r="Q45" s="177" t="s">
        <v>124</v>
      </c>
      <c r="R45" s="177" t="s">
        <v>124</v>
      </c>
      <c r="S45" s="91"/>
      <c r="T45" s="91"/>
    </row>
    <row r="46" spans="2:20" x14ac:dyDescent="0.25">
      <c r="B46" s="169">
        <v>41</v>
      </c>
      <c r="C46" s="91" t="s">
        <v>486</v>
      </c>
      <c r="D46" s="91" t="s">
        <v>31</v>
      </c>
      <c r="E46" s="91" t="s">
        <v>497</v>
      </c>
      <c r="F46" s="91" t="s">
        <v>329</v>
      </c>
      <c r="G46" s="169">
        <v>81000</v>
      </c>
      <c r="H46" s="91" t="s">
        <v>4</v>
      </c>
      <c r="I46" s="575"/>
      <c r="J46" s="564">
        <v>840000</v>
      </c>
      <c r="K46" s="578">
        <f t="shared" si="1"/>
        <v>840000</v>
      </c>
      <c r="L46" s="176" t="s">
        <v>124</v>
      </c>
      <c r="M46" s="564">
        <f t="shared" si="0"/>
        <v>42000</v>
      </c>
      <c r="N46" s="177" t="s">
        <v>124</v>
      </c>
      <c r="O46" s="177" t="s">
        <v>124</v>
      </c>
      <c r="P46" s="177" t="s">
        <v>124</v>
      </c>
      <c r="Q46" s="177" t="s">
        <v>124</v>
      </c>
      <c r="R46" s="177" t="s">
        <v>124</v>
      </c>
      <c r="S46" s="91"/>
      <c r="T46" s="91"/>
    </row>
    <row r="47" spans="2:20" x14ac:dyDescent="0.25">
      <c r="B47" s="169">
        <v>42</v>
      </c>
      <c r="C47" s="91" t="s">
        <v>486</v>
      </c>
      <c r="D47" s="91" t="s">
        <v>31</v>
      </c>
      <c r="E47" s="91" t="s">
        <v>330</v>
      </c>
      <c r="F47" s="91" t="s">
        <v>331</v>
      </c>
      <c r="G47" s="169">
        <v>81077</v>
      </c>
      <c r="H47" s="91" t="s">
        <v>4</v>
      </c>
      <c r="I47" s="575"/>
      <c r="J47" s="564">
        <v>212000</v>
      </c>
      <c r="K47" s="578">
        <f t="shared" si="1"/>
        <v>212000</v>
      </c>
      <c r="L47" s="176" t="s">
        <v>124</v>
      </c>
      <c r="M47" s="564">
        <f t="shared" si="0"/>
        <v>10600</v>
      </c>
      <c r="N47" s="177" t="s">
        <v>124</v>
      </c>
      <c r="O47" s="177" t="s">
        <v>124</v>
      </c>
      <c r="P47" s="177" t="s">
        <v>124</v>
      </c>
      <c r="Q47" s="177" t="s">
        <v>124</v>
      </c>
      <c r="R47" s="177" t="s">
        <v>124</v>
      </c>
      <c r="S47" s="91"/>
      <c r="T47" s="91"/>
    </row>
    <row r="48" spans="2:20" x14ac:dyDescent="0.25">
      <c r="B48" s="169">
        <v>43</v>
      </c>
      <c r="C48" s="91" t="s">
        <v>486</v>
      </c>
      <c r="D48" s="91" t="s">
        <v>31</v>
      </c>
      <c r="E48" s="91" t="s">
        <v>332</v>
      </c>
      <c r="F48" s="91" t="s">
        <v>333</v>
      </c>
      <c r="G48" s="169">
        <v>82017</v>
      </c>
      <c r="H48" s="91" t="s">
        <v>101</v>
      </c>
      <c r="I48" s="575"/>
      <c r="J48" s="564">
        <v>212000</v>
      </c>
      <c r="K48" s="578">
        <f t="shared" si="1"/>
        <v>212000</v>
      </c>
      <c r="L48" s="176" t="s">
        <v>124</v>
      </c>
      <c r="M48" s="564">
        <f t="shared" si="0"/>
        <v>10600</v>
      </c>
      <c r="N48" s="177" t="s">
        <v>124</v>
      </c>
      <c r="O48" s="177" t="s">
        <v>124</v>
      </c>
      <c r="P48" s="177" t="s">
        <v>124</v>
      </c>
      <c r="Q48" s="177" t="s">
        <v>124</v>
      </c>
      <c r="R48" s="177" t="s">
        <v>124</v>
      </c>
      <c r="S48" s="91"/>
      <c r="T48" s="91"/>
    </row>
    <row r="49" spans="2:20" x14ac:dyDescent="0.25">
      <c r="B49" s="169">
        <v>44</v>
      </c>
      <c r="C49" s="91" t="s">
        <v>486</v>
      </c>
      <c r="D49" s="91" t="s">
        <v>31</v>
      </c>
      <c r="E49" s="91" t="s">
        <v>330</v>
      </c>
      <c r="F49" s="91" t="s">
        <v>334</v>
      </c>
      <c r="G49" s="169">
        <v>80060</v>
      </c>
      <c r="H49" s="91" t="s">
        <v>5</v>
      </c>
      <c r="I49" s="575"/>
      <c r="J49" s="564">
        <v>212000</v>
      </c>
      <c r="K49" s="578">
        <f t="shared" si="1"/>
        <v>212000</v>
      </c>
      <c r="L49" s="176" t="s">
        <v>124</v>
      </c>
      <c r="M49" s="564">
        <f t="shared" si="0"/>
        <v>10600</v>
      </c>
      <c r="N49" s="177" t="s">
        <v>124</v>
      </c>
      <c r="O49" s="177" t="s">
        <v>124</v>
      </c>
      <c r="P49" s="177" t="s">
        <v>124</v>
      </c>
      <c r="Q49" s="177" t="s">
        <v>124</v>
      </c>
      <c r="R49" s="177" t="s">
        <v>124</v>
      </c>
      <c r="S49" s="91"/>
      <c r="T49" s="91"/>
    </row>
    <row r="50" spans="2:20" x14ac:dyDescent="0.25">
      <c r="B50" s="169">
        <v>45</v>
      </c>
      <c r="C50" s="91" t="s">
        <v>486</v>
      </c>
      <c r="D50" s="91" t="s">
        <v>31</v>
      </c>
      <c r="E50" s="91" t="s">
        <v>335</v>
      </c>
      <c r="F50" s="91" t="s">
        <v>336</v>
      </c>
      <c r="G50" s="169">
        <v>82010</v>
      </c>
      <c r="H50" s="91" t="s">
        <v>101</v>
      </c>
      <c r="I50" s="575"/>
      <c r="J50" s="564">
        <v>1567500</v>
      </c>
      <c r="K50" s="578">
        <f t="shared" si="1"/>
        <v>1567500</v>
      </c>
      <c r="L50" s="176" t="s">
        <v>124</v>
      </c>
      <c r="M50" s="564">
        <f t="shared" si="0"/>
        <v>78375</v>
      </c>
      <c r="N50" s="177" t="s">
        <v>124</v>
      </c>
      <c r="O50" s="177" t="s">
        <v>124</v>
      </c>
      <c r="P50" s="177" t="s">
        <v>124</v>
      </c>
      <c r="Q50" s="177" t="s">
        <v>124</v>
      </c>
      <c r="R50" s="177" t="s">
        <v>124</v>
      </c>
      <c r="S50" s="91"/>
      <c r="T50" s="91"/>
    </row>
    <row r="51" spans="2:20" x14ac:dyDescent="0.25">
      <c r="B51" s="169">
        <v>46</v>
      </c>
      <c r="C51" s="91" t="s">
        <v>486</v>
      </c>
      <c r="D51" s="91" t="s">
        <v>31</v>
      </c>
      <c r="E51" s="91" t="s">
        <v>337</v>
      </c>
      <c r="F51" s="91" t="s">
        <v>338</v>
      </c>
      <c r="G51" s="169">
        <v>80324</v>
      </c>
      <c r="H51" s="91" t="s">
        <v>130</v>
      </c>
      <c r="I51" s="575"/>
      <c r="J51" s="564">
        <v>620000</v>
      </c>
      <c r="K51" s="578">
        <f t="shared" si="1"/>
        <v>620000</v>
      </c>
      <c r="L51" s="176" t="s">
        <v>124</v>
      </c>
      <c r="M51" s="564">
        <f t="shared" si="0"/>
        <v>31000</v>
      </c>
      <c r="N51" s="177" t="s">
        <v>124</v>
      </c>
      <c r="O51" s="177" t="s">
        <v>124</v>
      </c>
      <c r="P51" s="177" t="s">
        <v>124</v>
      </c>
      <c r="Q51" s="177" t="s">
        <v>124</v>
      </c>
      <c r="R51" s="177" t="s">
        <v>124</v>
      </c>
      <c r="S51" s="91"/>
      <c r="T51" s="91"/>
    </row>
    <row r="52" spans="2:20" x14ac:dyDescent="0.25">
      <c r="B52" s="169">
        <v>47</v>
      </c>
      <c r="C52" s="91" t="s">
        <v>486</v>
      </c>
      <c r="D52" s="91" t="s">
        <v>31</v>
      </c>
      <c r="E52" s="91" t="s">
        <v>339</v>
      </c>
      <c r="F52" s="91" t="s">
        <v>340</v>
      </c>
      <c r="G52" s="169">
        <v>82000</v>
      </c>
      <c r="H52" s="91" t="s">
        <v>50</v>
      </c>
      <c r="I52" s="575"/>
      <c r="J52" s="564">
        <v>216000</v>
      </c>
      <c r="K52" s="578">
        <f t="shared" si="1"/>
        <v>216000</v>
      </c>
      <c r="L52" s="176" t="s">
        <v>124</v>
      </c>
      <c r="M52" s="564">
        <f t="shared" si="0"/>
        <v>10800</v>
      </c>
      <c r="N52" s="177" t="s">
        <v>124</v>
      </c>
      <c r="O52" s="177" t="s">
        <v>124</v>
      </c>
      <c r="P52" s="177" t="s">
        <v>124</v>
      </c>
      <c r="Q52" s="177" t="s">
        <v>124</v>
      </c>
      <c r="R52" s="177" t="s">
        <v>124</v>
      </c>
      <c r="S52" s="91"/>
      <c r="T52" s="91"/>
    </row>
    <row r="53" spans="2:20" x14ac:dyDescent="0.25">
      <c r="B53" s="169">
        <v>48</v>
      </c>
      <c r="C53" s="91" t="s">
        <v>486</v>
      </c>
      <c r="D53" s="91" t="s">
        <v>31</v>
      </c>
      <c r="E53" s="91" t="s">
        <v>341</v>
      </c>
      <c r="F53" s="91" t="s">
        <v>342</v>
      </c>
      <c r="G53" s="169">
        <v>81259</v>
      </c>
      <c r="H53" s="91" t="s">
        <v>34</v>
      </c>
      <c r="I53" s="575"/>
      <c r="J53" s="564">
        <v>121500</v>
      </c>
      <c r="K53" s="578">
        <f t="shared" si="1"/>
        <v>121500</v>
      </c>
      <c r="L53" s="176" t="s">
        <v>124</v>
      </c>
      <c r="M53" s="564">
        <f t="shared" si="0"/>
        <v>6075</v>
      </c>
      <c r="N53" s="177" t="s">
        <v>124</v>
      </c>
      <c r="O53" s="177" t="s">
        <v>124</v>
      </c>
      <c r="P53" s="177" t="s">
        <v>124</v>
      </c>
      <c r="Q53" s="177" t="s">
        <v>124</v>
      </c>
      <c r="R53" s="177" t="s">
        <v>124</v>
      </c>
      <c r="S53" s="91"/>
      <c r="T53" s="91"/>
    </row>
    <row r="54" spans="2:20" x14ac:dyDescent="0.25">
      <c r="B54" s="169">
        <v>49</v>
      </c>
      <c r="C54" s="91" t="s">
        <v>486</v>
      </c>
      <c r="D54" s="91" t="s">
        <v>31</v>
      </c>
      <c r="E54" s="91" t="s">
        <v>343</v>
      </c>
      <c r="F54" s="91" t="s">
        <v>344</v>
      </c>
      <c r="G54" s="169">
        <v>81254</v>
      </c>
      <c r="H54" s="91" t="s">
        <v>34</v>
      </c>
      <c r="I54" s="575"/>
      <c r="J54" s="564">
        <v>240000</v>
      </c>
      <c r="K54" s="578">
        <f t="shared" si="1"/>
        <v>240000</v>
      </c>
      <c r="L54" s="176" t="s">
        <v>124</v>
      </c>
      <c r="M54" s="564">
        <f t="shared" si="0"/>
        <v>12000</v>
      </c>
      <c r="N54" s="177" t="s">
        <v>124</v>
      </c>
      <c r="O54" s="177" t="s">
        <v>124</v>
      </c>
      <c r="P54" s="177" t="s">
        <v>124</v>
      </c>
      <c r="Q54" s="177" t="s">
        <v>124</v>
      </c>
      <c r="R54" s="177" t="s">
        <v>124</v>
      </c>
      <c r="S54" s="91"/>
      <c r="T54" s="91"/>
    </row>
    <row r="55" spans="2:20" x14ac:dyDescent="0.25">
      <c r="B55" s="169">
        <v>50</v>
      </c>
      <c r="C55" s="91" t="s">
        <v>486</v>
      </c>
      <c r="D55" s="91" t="s">
        <v>31</v>
      </c>
      <c r="E55" s="91" t="s">
        <v>345</v>
      </c>
      <c r="F55" s="91" t="s">
        <v>346</v>
      </c>
      <c r="G55" s="169">
        <v>82210</v>
      </c>
      <c r="H55" s="91" t="s">
        <v>101</v>
      </c>
      <c r="I55" s="575"/>
      <c r="J55" s="564">
        <v>240000</v>
      </c>
      <c r="K55" s="578">
        <f t="shared" si="1"/>
        <v>240000</v>
      </c>
      <c r="L55" s="176" t="s">
        <v>124</v>
      </c>
      <c r="M55" s="564">
        <f t="shared" si="0"/>
        <v>12000</v>
      </c>
      <c r="N55" s="177" t="s">
        <v>124</v>
      </c>
      <c r="O55" s="177" t="s">
        <v>124</v>
      </c>
      <c r="P55" s="177" t="s">
        <v>124</v>
      </c>
      <c r="Q55" s="177" t="s">
        <v>124</v>
      </c>
      <c r="R55" s="177" t="s">
        <v>124</v>
      </c>
      <c r="S55" s="91"/>
      <c r="T55" s="91"/>
    </row>
    <row r="56" spans="2:20" x14ac:dyDescent="0.25">
      <c r="B56" s="169">
        <v>51</v>
      </c>
      <c r="C56" s="91" t="s">
        <v>486</v>
      </c>
      <c r="D56" s="91" t="s">
        <v>31</v>
      </c>
      <c r="E56" s="91" t="s">
        <v>348</v>
      </c>
      <c r="F56" s="91" t="s">
        <v>349</v>
      </c>
      <c r="G56" s="169">
        <v>80020</v>
      </c>
      <c r="H56" s="91" t="s">
        <v>5</v>
      </c>
      <c r="I56" s="575"/>
      <c r="J56" s="564">
        <v>488000</v>
      </c>
      <c r="K56" s="578">
        <f t="shared" si="1"/>
        <v>488000</v>
      </c>
      <c r="L56" s="176" t="s">
        <v>124</v>
      </c>
      <c r="M56" s="564">
        <f t="shared" si="0"/>
        <v>24400</v>
      </c>
      <c r="N56" s="177" t="s">
        <v>124</v>
      </c>
      <c r="O56" s="177" t="s">
        <v>124</v>
      </c>
      <c r="P56" s="177" t="s">
        <v>124</v>
      </c>
      <c r="Q56" s="177" t="s">
        <v>124</v>
      </c>
      <c r="R56" s="177" t="s">
        <v>124</v>
      </c>
      <c r="S56" s="91"/>
      <c r="T56" s="91"/>
    </row>
    <row r="57" spans="2:20" x14ac:dyDescent="0.25">
      <c r="B57" s="169">
        <v>52</v>
      </c>
      <c r="C57" s="91" t="s">
        <v>486</v>
      </c>
      <c r="D57" s="91" t="s">
        <v>31</v>
      </c>
      <c r="E57" s="91" t="s">
        <v>350</v>
      </c>
      <c r="F57" s="91" t="s">
        <v>351</v>
      </c>
      <c r="G57" s="169">
        <v>82148</v>
      </c>
      <c r="H57" s="91" t="s">
        <v>101</v>
      </c>
      <c r="I57" s="575"/>
      <c r="J57" s="564">
        <v>538560</v>
      </c>
      <c r="K57" s="578">
        <f t="shared" si="1"/>
        <v>538560</v>
      </c>
      <c r="L57" s="176" t="s">
        <v>124</v>
      </c>
      <c r="M57" s="564">
        <f t="shared" si="0"/>
        <v>26928</v>
      </c>
      <c r="N57" s="177" t="s">
        <v>124</v>
      </c>
      <c r="O57" s="177" t="s">
        <v>124</v>
      </c>
      <c r="P57" s="177" t="s">
        <v>124</v>
      </c>
      <c r="Q57" s="177" t="s">
        <v>124</v>
      </c>
      <c r="R57" s="177" t="s">
        <v>124</v>
      </c>
      <c r="S57" s="91"/>
      <c r="T57" s="91"/>
    </row>
    <row r="58" spans="2:20" x14ac:dyDescent="0.25">
      <c r="B58" s="169">
        <v>53</v>
      </c>
      <c r="C58" s="91" t="s">
        <v>486</v>
      </c>
      <c r="D58" s="91" t="s">
        <v>31</v>
      </c>
      <c r="E58" s="91" t="s">
        <v>352</v>
      </c>
      <c r="F58" s="91" t="s">
        <v>353</v>
      </c>
      <c r="G58" s="169">
        <v>81260</v>
      </c>
      <c r="H58" s="91" t="s">
        <v>34</v>
      </c>
      <c r="I58" s="575"/>
      <c r="J58" s="564">
        <v>120000</v>
      </c>
      <c r="K58" s="578">
        <f t="shared" si="1"/>
        <v>120000</v>
      </c>
      <c r="L58" s="176" t="s">
        <v>124</v>
      </c>
      <c r="M58" s="564">
        <f t="shared" si="0"/>
        <v>6000</v>
      </c>
      <c r="N58" s="177" t="s">
        <v>124</v>
      </c>
      <c r="O58" s="177" t="s">
        <v>124</v>
      </c>
      <c r="P58" s="177" t="s">
        <v>124</v>
      </c>
      <c r="Q58" s="177" t="s">
        <v>124</v>
      </c>
      <c r="R58" s="177" t="s">
        <v>124</v>
      </c>
      <c r="S58" s="91"/>
      <c r="T58" s="91"/>
    </row>
    <row r="59" spans="2:20" x14ac:dyDescent="0.25">
      <c r="B59" s="169">
        <v>54</v>
      </c>
      <c r="C59" s="91" t="s">
        <v>486</v>
      </c>
      <c r="D59" s="91" t="s">
        <v>31</v>
      </c>
      <c r="E59" s="91" t="s">
        <v>354</v>
      </c>
      <c r="F59" s="91" t="s">
        <v>355</v>
      </c>
      <c r="G59" s="169">
        <v>80000</v>
      </c>
      <c r="H59" s="91" t="s">
        <v>5</v>
      </c>
      <c r="I59" s="575"/>
      <c r="J59" s="564">
        <v>1386120</v>
      </c>
      <c r="K59" s="578">
        <f t="shared" si="1"/>
        <v>1386120</v>
      </c>
      <c r="L59" s="176" t="s">
        <v>124</v>
      </c>
      <c r="M59" s="564">
        <f t="shared" si="0"/>
        <v>69306</v>
      </c>
      <c r="N59" s="177" t="s">
        <v>124</v>
      </c>
      <c r="O59" s="177" t="s">
        <v>124</v>
      </c>
      <c r="P59" s="177" t="s">
        <v>124</v>
      </c>
      <c r="Q59" s="177" t="s">
        <v>124</v>
      </c>
      <c r="R59" s="177" t="s">
        <v>124</v>
      </c>
      <c r="S59" s="91"/>
      <c r="T59" s="91"/>
    </row>
    <row r="60" spans="2:20" x14ac:dyDescent="0.25">
      <c r="B60" s="169">
        <v>55</v>
      </c>
      <c r="C60" s="91" t="s">
        <v>486</v>
      </c>
      <c r="D60" s="91" t="s">
        <v>31</v>
      </c>
      <c r="E60" s="91" t="s">
        <v>356</v>
      </c>
      <c r="F60" s="91" t="s">
        <v>357</v>
      </c>
      <c r="G60" s="169">
        <v>82138</v>
      </c>
      <c r="H60" s="91" t="s">
        <v>101</v>
      </c>
      <c r="I60" s="575"/>
      <c r="J60" s="564">
        <v>290540</v>
      </c>
      <c r="K60" s="578">
        <f t="shared" si="1"/>
        <v>290540</v>
      </c>
      <c r="L60" s="176" t="s">
        <v>124</v>
      </c>
      <c r="M60" s="564">
        <f t="shared" si="0"/>
        <v>14527</v>
      </c>
      <c r="N60" s="177" t="s">
        <v>124</v>
      </c>
      <c r="O60" s="177" t="s">
        <v>124</v>
      </c>
      <c r="P60" s="177" t="s">
        <v>124</v>
      </c>
      <c r="Q60" s="177" t="s">
        <v>124</v>
      </c>
      <c r="R60" s="177" t="s">
        <v>124</v>
      </c>
      <c r="S60" s="91"/>
      <c r="T60" s="91"/>
    </row>
    <row r="61" spans="2:20" x14ac:dyDescent="0.25">
      <c r="B61" s="169">
        <v>56</v>
      </c>
      <c r="C61" s="91" t="s">
        <v>486</v>
      </c>
      <c r="D61" s="91" t="s">
        <v>31</v>
      </c>
      <c r="E61" s="91" t="s">
        <v>358</v>
      </c>
      <c r="F61" s="91" t="s">
        <v>359</v>
      </c>
      <c r="G61" s="169">
        <v>82010</v>
      </c>
      <c r="H61" s="91" t="s">
        <v>101</v>
      </c>
      <c r="I61" s="575"/>
      <c r="J61" s="564">
        <v>251700</v>
      </c>
      <c r="K61" s="578">
        <f t="shared" si="1"/>
        <v>251700</v>
      </c>
      <c r="L61" s="176" t="s">
        <v>124</v>
      </c>
      <c r="M61" s="564">
        <f t="shared" si="0"/>
        <v>12585</v>
      </c>
      <c r="N61" s="177" t="s">
        <v>124</v>
      </c>
      <c r="O61" s="177" t="s">
        <v>124</v>
      </c>
      <c r="P61" s="177" t="s">
        <v>124</v>
      </c>
      <c r="Q61" s="177" t="s">
        <v>124</v>
      </c>
      <c r="R61" s="177" t="s">
        <v>124</v>
      </c>
      <c r="S61" s="91"/>
      <c r="T61" s="91"/>
    </row>
    <row r="62" spans="2:20" x14ac:dyDescent="0.25">
      <c r="B62" s="169">
        <v>57</v>
      </c>
      <c r="C62" s="91" t="s">
        <v>486</v>
      </c>
      <c r="D62" s="91" t="s">
        <v>31</v>
      </c>
      <c r="E62" s="91" t="s">
        <v>360</v>
      </c>
      <c r="F62" s="91" t="s">
        <v>361</v>
      </c>
      <c r="G62" s="169">
        <v>80000</v>
      </c>
      <c r="H62" s="91" t="s">
        <v>5</v>
      </c>
      <c r="I62" s="575"/>
      <c r="J62" s="564">
        <v>252000</v>
      </c>
      <c r="K62" s="578">
        <f t="shared" si="1"/>
        <v>252000</v>
      </c>
      <c r="L62" s="176" t="s">
        <v>124</v>
      </c>
      <c r="M62" s="564">
        <f t="shared" si="0"/>
        <v>12600</v>
      </c>
      <c r="N62" s="177" t="s">
        <v>124</v>
      </c>
      <c r="O62" s="177" t="s">
        <v>124</v>
      </c>
      <c r="P62" s="177" t="s">
        <v>124</v>
      </c>
      <c r="Q62" s="177" t="s">
        <v>124</v>
      </c>
      <c r="R62" s="177" t="s">
        <v>124</v>
      </c>
      <c r="S62" s="91"/>
      <c r="T62" s="91"/>
    </row>
    <row r="63" spans="2:20" x14ac:dyDescent="0.25">
      <c r="B63" s="169">
        <v>58</v>
      </c>
      <c r="C63" s="91" t="s">
        <v>486</v>
      </c>
      <c r="D63" s="91" t="s">
        <v>31</v>
      </c>
      <c r="E63" s="91" t="s">
        <v>362</v>
      </c>
      <c r="F63" s="91" t="s">
        <v>363</v>
      </c>
      <c r="G63" s="169">
        <v>82180</v>
      </c>
      <c r="H63" s="91" t="s">
        <v>11</v>
      </c>
      <c r="I63" s="575"/>
      <c r="J63" s="564">
        <v>400000</v>
      </c>
      <c r="K63" s="578">
        <f t="shared" si="1"/>
        <v>400000</v>
      </c>
      <c r="L63" s="176" t="s">
        <v>124</v>
      </c>
      <c r="M63" s="564">
        <f t="shared" si="0"/>
        <v>20000</v>
      </c>
      <c r="N63" s="177" t="s">
        <v>124</v>
      </c>
      <c r="O63" s="177" t="s">
        <v>124</v>
      </c>
      <c r="P63" s="177" t="s">
        <v>124</v>
      </c>
      <c r="Q63" s="177" t="s">
        <v>124</v>
      </c>
      <c r="R63" s="177" t="s">
        <v>124</v>
      </c>
      <c r="S63" s="91"/>
      <c r="T63" s="91"/>
    </row>
    <row r="64" spans="2:20" x14ac:dyDescent="0.25">
      <c r="B64" s="169">
        <v>59</v>
      </c>
      <c r="C64" s="91" t="s">
        <v>486</v>
      </c>
      <c r="D64" s="91" t="s">
        <v>31</v>
      </c>
      <c r="E64" s="91" t="s">
        <v>364</v>
      </c>
      <c r="F64" s="91" t="s">
        <v>365</v>
      </c>
      <c r="G64" s="169">
        <v>81802</v>
      </c>
      <c r="H64" s="91" t="s">
        <v>126</v>
      </c>
      <c r="I64" s="575"/>
      <c r="J64" s="564">
        <v>436000</v>
      </c>
      <c r="K64" s="578">
        <f t="shared" si="1"/>
        <v>436000</v>
      </c>
      <c r="L64" s="176" t="s">
        <v>124</v>
      </c>
      <c r="M64" s="564">
        <f t="shared" si="0"/>
        <v>21800</v>
      </c>
      <c r="N64" s="177" t="s">
        <v>124</v>
      </c>
      <c r="O64" s="177" t="s">
        <v>124</v>
      </c>
      <c r="P64" s="177" t="s">
        <v>124</v>
      </c>
      <c r="Q64" s="177" t="s">
        <v>124</v>
      </c>
      <c r="R64" s="177" t="s">
        <v>124</v>
      </c>
      <c r="S64" s="91"/>
      <c r="T64" s="91"/>
    </row>
    <row r="65" spans="2:20" x14ac:dyDescent="0.25">
      <c r="B65" s="169">
        <v>60</v>
      </c>
      <c r="C65" s="91" t="s">
        <v>486</v>
      </c>
      <c r="D65" s="91" t="s">
        <v>31</v>
      </c>
      <c r="E65" s="91" t="s">
        <v>366</v>
      </c>
      <c r="F65" s="91" t="s">
        <v>365</v>
      </c>
      <c r="G65" s="169">
        <v>81802</v>
      </c>
      <c r="H65" s="91" t="s">
        <v>126</v>
      </c>
      <c r="I65" s="575"/>
      <c r="J65" s="564">
        <v>839660</v>
      </c>
      <c r="K65" s="578">
        <f t="shared" si="1"/>
        <v>839660</v>
      </c>
      <c r="L65" s="176" t="s">
        <v>124</v>
      </c>
      <c r="M65" s="564">
        <f t="shared" si="0"/>
        <v>41983</v>
      </c>
      <c r="N65" s="177" t="s">
        <v>124</v>
      </c>
      <c r="O65" s="177" t="s">
        <v>124</v>
      </c>
      <c r="P65" s="177" t="s">
        <v>124</v>
      </c>
      <c r="Q65" s="177" t="s">
        <v>124</v>
      </c>
      <c r="R65" s="177" t="s">
        <v>124</v>
      </c>
      <c r="S65" s="91"/>
      <c r="T65" s="91"/>
    </row>
    <row r="66" spans="2:20" x14ac:dyDescent="0.25">
      <c r="B66" s="169">
        <v>61</v>
      </c>
      <c r="C66" s="91" t="s">
        <v>486</v>
      </c>
      <c r="D66" s="91" t="s">
        <v>31</v>
      </c>
      <c r="E66" s="91" t="s">
        <v>367</v>
      </c>
      <c r="F66" s="91" t="s">
        <v>365</v>
      </c>
      <c r="G66" s="169">
        <v>81802</v>
      </c>
      <c r="H66" s="91" t="s">
        <v>126</v>
      </c>
      <c r="I66" s="575"/>
      <c r="J66" s="564">
        <v>215240</v>
      </c>
      <c r="K66" s="578">
        <f t="shared" si="1"/>
        <v>215240</v>
      </c>
      <c r="L66" s="176" t="s">
        <v>124</v>
      </c>
      <c r="M66" s="564">
        <f t="shared" si="0"/>
        <v>10762</v>
      </c>
      <c r="N66" s="177" t="s">
        <v>124</v>
      </c>
      <c r="O66" s="177" t="s">
        <v>124</v>
      </c>
      <c r="P66" s="177" t="s">
        <v>124</v>
      </c>
      <c r="Q66" s="177" t="s">
        <v>124</v>
      </c>
      <c r="R66" s="177" t="s">
        <v>124</v>
      </c>
      <c r="S66" s="91"/>
      <c r="T66" s="91"/>
    </row>
    <row r="67" spans="2:20" x14ac:dyDescent="0.25">
      <c r="B67" s="169">
        <v>62</v>
      </c>
      <c r="C67" s="91" t="s">
        <v>486</v>
      </c>
      <c r="D67" s="91" t="s">
        <v>31</v>
      </c>
      <c r="E67" s="91" t="s">
        <v>368</v>
      </c>
      <c r="F67" s="91" t="s">
        <v>369</v>
      </c>
      <c r="G67" s="169">
        <v>80000</v>
      </c>
      <c r="H67" s="91" t="s">
        <v>5</v>
      </c>
      <c r="I67" s="575"/>
      <c r="J67" s="564">
        <v>72780</v>
      </c>
      <c r="K67" s="578">
        <f t="shared" si="1"/>
        <v>72780</v>
      </c>
      <c r="L67" s="176" t="s">
        <v>124</v>
      </c>
      <c r="M67" s="564">
        <f t="shared" si="0"/>
        <v>3639</v>
      </c>
      <c r="N67" s="177" t="s">
        <v>124</v>
      </c>
      <c r="O67" s="177" t="s">
        <v>124</v>
      </c>
      <c r="P67" s="177" t="s">
        <v>124</v>
      </c>
      <c r="Q67" s="177" t="s">
        <v>124</v>
      </c>
      <c r="R67" s="177" t="s">
        <v>124</v>
      </c>
      <c r="S67" s="91"/>
      <c r="T67" s="91"/>
    </row>
    <row r="68" spans="2:20" x14ac:dyDescent="0.25">
      <c r="B68" s="169">
        <v>63</v>
      </c>
      <c r="C68" s="91" t="s">
        <v>486</v>
      </c>
      <c r="D68" s="91" t="s">
        <v>31</v>
      </c>
      <c r="E68" s="91" t="s">
        <v>498</v>
      </c>
      <c r="F68" s="91" t="s">
        <v>371</v>
      </c>
      <c r="G68" s="169">
        <v>81200</v>
      </c>
      <c r="H68" s="91" t="s">
        <v>34</v>
      </c>
      <c r="I68" s="575"/>
      <c r="J68" s="564">
        <v>5500000</v>
      </c>
      <c r="K68" s="578">
        <f t="shared" si="1"/>
        <v>5500000</v>
      </c>
      <c r="L68" s="176" t="s">
        <v>124</v>
      </c>
      <c r="M68" s="564">
        <f t="shared" si="0"/>
        <v>275000</v>
      </c>
      <c r="N68" s="177" t="s">
        <v>124</v>
      </c>
      <c r="O68" s="177" t="s">
        <v>124</v>
      </c>
      <c r="P68" s="177" t="s">
        <v>124</v>
      </c>
      <c r="Q68" s="177" t="s">
        <v>124</v>
      </c>
      <c r="R68" s="177" t="s">
        <v>124</v>
      </c>
      <c r="S68" s="91"/>
      <c r="T68" s="91"/>
    </row>
    <row r="69" spans="2:20" x14ac:dyDescent="0.25">
      <c r="B69" s="169">
        <v>64</v>
      </c>
      <c r="C69" s="91" t="s">
        <v>486</v>
      </c>
      <c r="D69" s="91" t="s">
        <v>31</v>
      </c>
      <c r="E69" s="91" t="s">
        <v>499</v>
      </c>
      <c r="F69" s="91" t="s">
        <v>373</v>
      </c>
      <c r="G69" s="169">
        <v>81280</v>
      </c>
      <c r="H69" s="91" t="s">
        <v>34</v>
      </c>
      <c r="I69" s="575"/>
      <c r="J69" s="564">
        <v>681720</v>
      </c>
      <c r="K69" s="578">
        <f t="shared" si="1"/>
        <v>681720</v>
      </c>
      <c r="L69" s="176" t="s">
        <v>124</v>
      </c>
      <c r="M69" s="564">
        <f t="shared" si="0"/>
        <v>34086</v>
      </c>
      <c r="N69" s="177" t="s">
        <v>124</v>
      </c>
      <c r="O69" s="177" t="s">
        <v>124</v>
      </c>
      <c r="P69" s="177" t="s">
        <v>124</v>
      </c>
      <c r="Q69" s="177" t="s">
        <v>124</v>
      </c>
      <c r="R69" s="177" t="s">
        <v>124</v>
      </c>
      <c r="S69" s="91"/>
      <c r="T69" s="91"/>
    </row>
    <row r="70" spans="2:20" x14ac:dyDescent="0.25">
      <c r="B70" s="169">
        <v>65</v>
      </c>
      <c r="C70" s="91" t="s">
        <v>486</v>
      </c>
      <c r="D70" s="91" t="s">
        <v>31</v>
      </c>
      <c r="E70" s="91" t="s">
        <v>374</v>
      </c>
      <c r="F70" s="91" t="s">
        <v>375</v>
      </c>
      <c r="G70" s="169">
        <v>81891</v>
      </c>
      <c r="H70" s="91" t="s">
        <v>126</v>
      </c>
      <c r="I70" s="575"/>
      <c r="J70" s="564">
        <v>1200000</v>
      </c>
      <c r="K70" s="578">
        <f t="shared" si="1"/>
        <v>1200000</v>
      </c>
      <c r="L70" s="176" t="s">
        <v>124</v>
      </c>
      <c r="M70" s="564">
        <f t="shared" ref="M70:M125" si="2">(I70+J70)*5%</f>
        <v>60000</v>
      </c>
      <c r="N70" s="177" t="s">
        <v>124</v>
      </c>
      <c r="O70" s="177" t="s">
        <v>124</v>
      </c>
      <c r="P70" s="177" t="s">
        <v>124</v>
      </c>
      <c r="Q70" s="177" t="s">
        <v>124</v>
      </c>
      <c r="R70" s="177" t="s">
        <v>124</v>
      </c>
      <c r="S70" s="91"/>
      <c r="T70" s="91"/>
    </row>
    <row r="71" spans="2:20" x14ac:dyDescent="0.25">
      <c r="B71" s="169">
        <v>66</v>
      </c>
      <c r="C71" s="91" t="s">
        <v>486</v>
      </c>
      <c r="D71" s="91" t="s">
        <v>31</v>
      </c>
      <c r="E71" s="91" t="s">
        <v>376</v>
      </c>
      <c r="F71" s="91" t="s">
        <v>377</v>
      </c>
      <c r="G71" s="169">
        <v>80080</v>
      </c>
      <c r="H71" s="91" t="s">
        <v>5</v>
      </c>
      <c r="I71" s="575"/>
      <c r="J71" s="564">
        <v>121500</v>
      </c>
      <c r="K71" s="578">
        <f t="shared" ref="K71:K125" si="3">+I71+J71</f>
        <v>121500</v>
      </c>
      <c r="L71" s="176" t="s">
        <v>124</v>
      </c>
      <c r="M71" s="564">
        <f t="shared" si="2"/>
        <v>6075</v>
      </c>
      <c r="N71" s="177" t="s">
        <v>124</v>
      </c>
      <c r="O71" s="177" t="s">
        <v>124</v>
      </c>
      <c r="P71" s="177" t="s">
        <v>124</v>
      </c>
      <c r="Q71" s="177" t="s">
        <v>124</v>
      </c>
      <c r="R71" s="177" t="s">
        <v>124</v>
      </c>
      <c r="S71" s="91"/>
      <c r="T71" s="91"/>
    </row>
    <row r="72" spans="2:20" x14ac:dyDescent="0.25">
      <c r="B72" s="169">
        <v>67</v>
      </c>
      <c r="C72" s="91" t="s">
        <v>486</v>
      </c>
      <c r="D72" s="91" t="s">
        <v>31</v>
      </c>
      <c r="E72" s="91" t="s">
        <v>330</v>
      </c>
      <c r="F72" s="91" t="s">
        <v>379</v>
      </c>
      <c r="G72" s="169">
        <v>82124</v>
      </c>
      <c r="H72" s="91" t="s">
        <v>101</v>
      </c>
      <c r="I72" s="575"/>
      <c r="J72" s="564">
        <v>1139000</v>
      </c>
      <c r="K72" s="578">
        <f t="shared" si="3"/>
        <v>1139000</v>
      </c>
      <c r="L72" s="176" t="s">
        <v>124</v>
      </c>
      <c r="M72" s="564">
        <f t="shared" si="2"/>
        <v>56950</v>
      </c>
      <c r="N72" s="177" t="s">
        <v>124</v>
      </c>
      <c r="O72" s="177" t="s">
        <v>124</v>
      </c>
      <c r="P72" s="177" t="s">
        <v>124</v>
      </c>
      <c r="Q72" s="177" t="s">
        <v>124</v>
      </c>
      <c r="R72" s="177" t="s">
        <v>124</v>
      </c>
      <c r="S72" s="91"/>
      <c r="T72" s="91"/>
    </row>
    <row r="73" spans="2:20" x14ac:dyDescent="0.25">
      <c r="B73" s="169">
        <v>68</v>
      </c>
      <c r="C73" s="91" t="s">
        <v>486</v>
      </c>
      <c r="D73" s="91" t="s">
        <v>31</v>
      </c>
      <c r="E73" s="91" t="s">
        <v>380</v>
      </c>
      <c r="F73" s="91" t="s">
        <v>381</v>
      </c>
      <c r="G73" s="169">
        <v>91340</v>
      </c>
      <c r="H73" s="91" t="s">
        <v>34</v>
      </c>
      <c r="I73" s="575"/>
      <c r="J73" s="564">
        <v>54000</v>
      </c>
      <c r="K73" s="578">
        <f t="shared" si="3"/>
        <v>54000</v>
      </c>
      <c r="L73" s="176" t="s">
        <v>124</v>
      </c>
      <c r="M73" s="564">
        <f t="shared" si="2"/>
        <v>2700</v>
      </c>
      <c r="N73" s="177" t="s">
        <v>124</v>
      </c>
      <c r="O73" s="177" t="s">
        <v>124</v>
      </c>
      <c r="P73" s="177" t="s">
        <v>124</v>
      </c>
      <c r="Q73" s="177" t="s">
        <v>124</v>
      </c>
      <c r="R73" s="177" t="s">
        <v>124</v>
      </c>
      <c r="S73" s="91"/>
      <c r="T73" s="91"/>
    </row>
    <row r="74" spans="2:20" x14ac:dyDescent="0.25">
      <c r="B74" s="169">
        <v>69</v>
      </c>
      <c r="C74" s="91" t="s">
        <v>486</v>
      </c>
      <c r="D74" s="91" t="s">
        <v>31</v>
      </c>
      <c r="E74" s="91" t="s">
        <v>382</v>
      </c>
      <c r="F74" s="91" t="s">
        <v>383</v>
      </c>
      <c r="G74" s="169">
        <v>81369</v>
      </c>
      <c r="H74" s="91" t="s">
        <v>34</v>
      </c>
      <c r="I74" s="575"/>
      <c r="J74" s="564">
        <v>763580</v>
      </c>
      <c r="K74" s="578">
        <f t="shared" si="3"/>
        <v>763580</v>
      </c>
      <c r="L74" s="176" t="s">
        <v>124</v>
      </c>
      <c r="M74" s="564">
        <f t="shared" si="2"/>
        <v>38179</v>
      </c>
      <c r="N74" s="177" t="s">
        <v>124</v>
      </c>
      <c r="O74" s="177" t="s">
        <v>124</v>
      </c>
      <c r="P74" s="177" t="s">
        <v>124</v>
      </c>
      <c r="Q74" s="177" t="s">
        <v>124</v>
      </c>
      <c r="R74" s="177" t="s">
        <v>124</v>
      </c>
      <c r="S74" s="91"/>
      <c r="T74" s="91"/>
    </row>
    <row r="75" spans="2:20" x14ac:dyDescent="0.25">
      <c r="B75" s="169">
        <v>70</v>
      </c>
      <c r="C75" s="91" t="s">
        <v>486</v>
      </c>
      <c r="D75" s="91" t="s">
        <v>31</v>
      </c>
      <c r="E75" s="91" t="s">
        <v>384</v>
      </c>
      <c r="F75" s="91" t="s">
        <v>385</v>
      </c>
      <c r="G75" s="169">
        <v>80320</v>
      </c>
      <c r="H75" s="91" t="s">
        <v>130</v>
      </c>
      <c r="I75" s="575"/>
      <c r="J75" s="564">
        <v>267620</v>
      </c>
      <c r="K75" s="578">
        <f t="shared" si="3"/>
        <v>267620</v>
      </c>
      <c r="L75" s="176" t="s">
        <v>124</v>
      </c>
      <c r="M75" s="564">
        <f t="shared" si="2"/>
        <v>13381</v>
      </c>
      <c r="N75" s="177" t="s">
        <v>124</v>
      </c>
      <c r="O75" s="177" t="s">
        <v>124</v>
      </c>
      <c r="P75" s="177" t="s">
        <v>124</v>
      </c>
      <c r="Q75" s="177" t="s">
        <v>124</v>
      </c>
      <c r="R75" s="177" t="s">
        <v>124</v>
      </c>
      <c r="S75" s="91"/>
      <c r="T75" s="91"/>
    </row>
    <row r="76" spans="2:20" x14ac:dyDescent="0.25">
      <c r="B76" s="169">
        <v>71</v>
      </c>
      <c r="C76" s="91" t="s">
        <v>486</v>
      </c>
      <c r="D76" s="91" t="s">
        <v>31</v>
      </c>
      <c r="E76" s="91" t="s">
        <v>314</v>
      </c>
      <c r="F76" s="91" t="s">
        <v>385</v>
      </c>
      <c r="G76" s="169">
        <v>80320</v>
      </c>
      <c r="H76" s="91" t="s">
        <v>130</v>
      </c>
      <c r="I76" s="575"/>
      <c r="J76" s="564">
        <v>210720</v>
      </c>
      <c r="K76" s="578">
        <f t="shared" si="3"/>
        <v>210720</v>
      </c>
      <c r="L76" s="176" t="s">
        <v>124</v>
      </c>
      <c r="M76" s="564">
        <f t="shared" si="2"/>
        <v>10536</v>
      </c>
      <c r="N76" s="177" t="s">
        <v>124</v>
      </c>
      <c r="O76" s="177" t="s">
        <v>124</v>
      </c>
      <c r="P76" s="177" t="s">
        <v>124</v>
      </c>
      <c r="Q76" s="177" t="s">
        <v>124</v>
      </c>
      <c r="R76" s="177" t="s">
        <v>124</v>
      </c>
      <c r="S76" s="91"/>
      <c r="T76" s="91"/>
    </row>
    <row r="77" spans="2:20" x14ac:dyDescent="0.25">
      <c r="B77" s="169">
        <v>72</v>
      </c>
      <c r="C77" s="91" t="s">
        <v>486</v>
      </c>
      <c r="D77" s="91" t="s">
        <v>31</v>
      </c>
      <c r="E77" s="91" t="s">
        <v>386</v>
      </c>
      <c r="F77" s="91" t="s">
        <v>385</v>
      </c>
      <c r="G77" s="169">
        <v>80320</v>
      </c>
      <c r="H77" s="91" t="s">
        <v>130</v>
      </c>
      <c r="I77" s="575"/>
      <c r="J77" s="564">
        <v>232120</v>
      </c>
      <c r="K77" s="578">
        <f t="shared" si="3"/>
        <v>232120</v>
      </c>
      <c r="L77" s="176" t="s">
        <v>124</v>
      </c>
      <c r="M77" s="564">
        <f t="shared" si="2"/>
        <v>11606</v>
      </c>
      <c r="N77" s="177" t="s">
        <v>124</v>
      </c>
      <c r="O77" s="177" t="s">
        <v>124</v>
      </c>
      <c r="P77" s="177" t="s">
        <v>124</v>
      </c>
      <c r="Q77" s="177" t="s">
        <v>124</v>
      </c>
      <c r="R77" s="177" t="s">
        <v>124</v>
      </c>
      <c r="S77" s="91"/>
      <c r="T77" s="91"/>
    </row>
    <row r="78" spans="2:20" x14ac:dyDescent="0.25">
      <c r="B78" s="169">
        <v>73</v>
      </c>
      <c r="C78" s="91" t="s">
        <v>486</v>
      </c>
      <c r="D78" s="91" t="s">
        <v>31</v>
      </c>
      <c r="E78" s="91" t="s">
        <v>387</v>
      </c>
      <c r="F78" s="91" t="s">
        <v>385</v>
      </c>
      <c r="G78" s="169">
        <v>80320</v>
      </c>
      <c r="H78" s="91" t="s">
        <v>130</v>
      </c>
      <c r="I78" s="575"/>
      <c r="J78" s="564">
        <v>300000</v>
      </c>
      <c r="K78" s="578">
        <f t="shared" si="3"/>
        <v>300000</v>
      </c>
      <c r="L78" s="176" t="s">
        <v>124</v>
      </c>
      <c r="M78" s="564">
        <f t="shared" si="2"/>
        <v>15000</v>
      </c>
      <c r="N78" s="177" t="s">
        <v>124</v>
      </c>
      <c r="O78" s="177" t="s">
        <v>124</v>
      </c>
      <c r="P78" s="177" t="s">
        <v>124</v>
      </c>
      <c r="Q78" s="177" t="s">
        <v>124</v>
      </c>
      <c r="R78" s="177" t="s">
        <v>124</v>
      </c>
      <c r="S78" s="91"/>
      <c r="T78" s="91"/>
    </row>
    <row r="79" spans="2:20" x14ac:dyDescent="0.25">
      <c r="B79" s="169">
        <v>74</v>
      </c>
      <c r="C79" s="91" t="s">
        <v>486</v>
      </c>
      <c r="D79" s="91" t="s">
        <v>31</v>
      </c>
      <c r="E79" s="91" t="s">
        <v>388</v>
      </c>
      <c r="F79" s="91" t="s">
        <v>385</v>
      </c>
      <c r="G79" s="169">
        <v>80320</v>
      </c>
      <c r="H79" s="91" t="s">
        <v>130</v>
      </c>
      <c r="I79" s="575"/>
      <c r="J79" s="564">
        <v>108000</v>
      </c>
      <c r="K79" s="578">
        <f t="shared" si="3"/>
        <v>108000</v>
      </c>
      <c r="L79" s="176" t="s">
        <v>124</v>
      </c>
      <c r="M79" s="564">
        <f t="shared" si="2"/>
        <v>5400</v>
      </c>
      <c r="N79" s="177" t="s">
        <v>124</v>
      </c>
      <c r="O79" s="177" t="s">
        <v>124</v>
      </c>
      <c r="P79" s="177" t="s">
        <v>124</v>
      </c>
      <c r="Q79" s="177" t="s">
        <v>124</v>
      </c>
      <c r="R79" s="177" t="s">
        <v>124</v>
      </c>
      <c r="S79" s="91"/>
      <c r="T79" s="91"/>
    </row>
    <row r="80" spans="2:20" x14ac:dyDescent="0.25">
      <c r="B80" s="169">
        <v>75</v>
      </c>
      <c r="C80" s="91" t="s">
        <v>486</v>
      </c>
      <c r="D80" s="91" t="s">
        <v>31</v>
      </c>
      <c r="E80" s="91" t="s">
        <v>389</v>
      </c>
      <c r="F80" s="91" t="s">
        <v>500</v>
      </c>
      <c r="G80" s="169">
        <v>81280</v>
      </c>
      <c r="H80" s="91" t="s">
        <v>34</v>
      </c>
      <c r="I80" s="575"/>
      <c r="J80" s="564">
        <v>108000</v>
      </c>
      <c r="K80" s="578">
        <f t="shared" si="3"/>
        <v>108000</v>
      </c>
      <c r="L80" s="176" t="s">
        <v>124</v>
      </c>
      <c r="M80" s="564">
        <f t="shared" si="2"/>
        <v>5400</v>
      </c>
      <c r="N80" s="177" t="s">
        <v>124</v>
      </c>
      <c r="O80" s="177" t="s">
        <v>124</v>
      </c>
      <c r="P80" s="177" t="s">
        <v>124</v>
      </c>
      <c r="Q80" s="177" t="s">
        <v>124</v>
      </c>
      <c r="R80" s="177" t="s">
        <v>124</v>
      </c>
      <c r="S80" s="91"/>
      <c r="T80" s="91"/>
    </row>
    <row r="81" spans="2:20" x14ac:dyDescent="0.25">
      <c r="B81" s="169">
        <v>76</v>
      </c>
      <c r="C81" s="91" t="s">
        <v>486</v>
      </c>
      <c r="D81" s="91" t="s">
        <v>31</v>
      </c>
      <c r="E81" s="91" t="s">
        <v>390</v>
      </c>
      <c r="F81" s="91" t="s">
        <v>391</v>
      </c>
      <c r="G81" s="169">
        <v>81280</v>
      </c>
      <c r="H81" s="91" t="s">
        <v>34</v>
      </c>
      <c r="I81" s="575"/>
      <c r="J81" s="564">
        <v>252120</v>
      </c>
      <c r="K81" s="578">
        <f t="shared" si="3"/>
        <v>252120</v>
      </c>
      <c r="L81" s="176" t="s">
        <v>124</v>
      </c>
      <c r="M81" s="564">
        <f t="shared" si="2"/>
        <v>12606</v>
      </c>
      <c r="N81" s="177" t="s">
        <v>124</v>
      </c>
      <c r="O81" s="177" t="s">
        <v>124</v>
      </c>
      <c r="P81" s="177" t="s">
        <v>124</v>
      </c>
      <c r="Q81" s="177" t="s">
        <v>124</v>
      </c>
      <c r="R81" s="177" t="s">
        <v>124</v>
      </c>
      <c r="S81" s="91"/>
      <c r="T81" s="91"/>
    </row>
    <row r="82" spans="2:20" x14ac:dyDescent="0.25">
      <c r="B82" s="169">
        <v>77</v>
      </c>
      <c r="C82" s="91" t="s">
        <v>486</v>
      </c>
      <c r="D82" s="91" t="s">
        <v>31</v>
      </c>
      <c r="E82" s="91" t="s">
        <v>501</v>
      </c>
      <c r="F82" s="91" t="s">
        <v>393</v>
      </c>
      <c r="G82" s="169">
        <v>82140</v>
      </c>
      <c r="H82" s="91" t="s">
        <v>101</v>
      </c>
      <c r="I82" s="575"/>
      <c r="J82" s="564">
        <v>2773680</v>
      </c>
      <c r="K82" s="578">
        <f t="shared" si="3"/>
        <v>2773680</v>
      </c>
      <c r="L82" s="176" t="s">
        <v>124</v>
      </c>
      <c r="M82" s="564">
        <f t="shared" si="2"/>
        <v>138684</v>
      </c>
      <c r="N82" s="177" t="s">
        <v>124</v>
      </c>
      <c r="O82" s="177" t="s">
        <v>124</v>
      </c>
      <c r="P82" s="177" t="s">
        <v>124</v>
      </c>
      <c r="Q82" s="177" t="s">
        <v>124</v>
      </c>
      <c r="R82" s="177" t="s">
        <v>124</v>
      </c>
      <c r="S82" s="91"/>
      <c r="T82" s="91"/>
    </row>
    <row r="83" spans="2:20" x14ac:dyDescent="0.25">
      <c r="B83" s="169">
        <v>78</v>
      </c>
      <c r="C83" s="91" t="s">
        <v>486</v>
      </c>
      <c r="D83" s="91" t="s">
        <v>31</v>
      </c>
      <c r="E83" s="91" t="s">
        <v>502</v>
      </c>
      <c r="F83" s="91" t="s">
        <v>395</v>
      </c>
      <c r="G83" s="169">
        <v>81490</v>
      </c>
      <c r="H83" s="91" t="s">
        <v>189</v>
      </c>
      <c r="I83" s="575"/>
      <c r="J83" s="564">
        <v>231300</v>
      </c>
      <c r="K83" s="578">
        <f t="shared" si="3"/>
        <v>231300</v>
      </c>
      <c r="L83" s="176" t="s">
        <v>124</v>
      </c>
      <c r="M83" s="564">
        <f t="shared" si="2"/>
        <v>11565</v>
      </c>
      <c r="N83" s="177" t="s">
        <v>124</v>
      </c>
      <c r="O83" s="177" t="s">
        <v>124</v>
      </c>
      <c r="P83" s="177" t="s">
        <v>124</v>
      </c>
      <c r="Q83" s="177" t="s">
        <v>124</v>
      </c>
      <c r="R83" s="177" t="s">
        <v>124</v>
      </c>
      <c r="S83" s="91"/>
      <c r="T83" s="91"/>
    </row>
    <row r="84" spans="2:20" x14ac:dyDescent="0.25">
      <c r="B84" s="169">
        <v>79</v>
      </c>
      <c r="C84" s="91" t="s">
        <v>486</v>
      </c>
      <c r="D84" s="91" t="s">
        <v>31</v>
      </c>
      <c r="E84" s="91" t="s">
        <v>396</v>
      </c>
      <c r="F84" s="91" t="s">
        <v>397</v>
      </c>
      <c r="G84" s="169">
        <v>81040</v>
      </c>
      <c r="H84" s="91" t="s">
        <v>4</v>
      </c>
      <c r="I84" s="575"/>
      <c r="J84" s="564">
        <v>117720</v>
      </c>
      <c r="K84" s="578">
        <f t="shared" si="3"/>
        <v>117720</v>
      </c>
      <c r="L84" s="176" t="s">
        <v>124</v>
      </c>
      <c r="M84" s="564">
        <f t="shared" si="2"/>
        <v>5886</v>
      </c>
      <c r="N84" s="177" t="s">
        <v>124</v>
      </c>
      <c r="O84" s="177" t="s">
        <v>124</v>
      </c>
      <c r="P84" s="177" t="s">
        <v>124</v>
      </c>
      <c r="Q84" s="177" t="s">
        <v>124</v>
      </c>
      <c r="R84" s="177" t="s">
        <v>124</v>
      </c>
      <c r="S84" s="91"/>
      <c r="T84" s="91"/>
    </row>
    <row r="85" spans="2:20" x14ac:dyDescent="0.25">
      <c r="B85" s="169">
        <v>80</v>
      </c>
      <c r="C85" s="91" t="s">
        <v>486</v>
      </c>
      <c r="D85" s="91" t="s">
        <v>31</v>
      </c>
      <c r="E85" s="91" t="s">
        <v>283</v>
      </c>
      <c r="F85" s="91" t="s">
        <v>398</v>
      </c>
      <c r="G85" s="169">
        <v>81040</v>
      </c>
      <c r="H85" s="91" t="s">
        <v>4</v>
      </c>
      <c r="I85" s="575"/>
      <c r="J85" s="564">
        <v>251160</v>
      </c>
      <c r="K85" s="578">
        <f t="shared" si="3"/>
        <v>251160</v>
      </c>
      <c r="L85" s="176" t="s">
        <v>124</v>
      </c>
      <c r="M85" s="564">
        <f t="shared" si="2"/>
        <v>12558</v>
      </c>
      <c r="N85" s="177" t="s">
        <v>124</v>
      </c>
      <c r="O85" s="177" t="s">
        <v>124</v>
      </c>
      <c r="P85" s="177" t="s">
        <v>124</v>
      </c>
      <c r="Q85" s="177" t="s">
        <v>124</v>
      </c>
      <c r="R85" s="177" t="s">
        <v>124</v>
      </c>
      <c r="S85" s="91"/>
      <c r="T85" s="91"/>
    </row>
    <row r="86" spans="2:20" x14ac:dyDescent="0.25">
      <c r="B86" s="169">
        <v>81</v>
      </c>
      <c r="C86" s="91" t="s">
        <v>486</v>
      </c>
      <c r="D86" s="91" t="s">
        <v>31</v>
      </c>
      <c r="E86" s="91" t="s">
        <v>503</v>
      </c>
      <c r="F86" s="91" t="s">
        <v>400</v>
      </c>
      <c r="G86" s="169">
        <v>80058</v>
      </c>
      <c r="H86" s="91" t="s">
        <v>5</v>
      </c>
      <c r="I86" s="575"/>
      <c r="J86" s="564">
        <v>1182040</v>
      </c>
      <c r="K86" s="578">
        <f t="shared" si="3"/>
        <v>1182040</v>
      </c>
      <c r="L86" s="176" t="s">
        <v>124</v>
      </c>
      <c r="M86" s="564">
        <f t="shared" si="2"/>
        <v>59102</v>
      </c>
      <c r="N86" s="177" t="s">
        <v>124</v>
      </c>
      <c r="O86" s="177" t="s">
        <v>124</v>
      </c>
      <c r="P86" s="177" t="s">
        <v>124</v>
      </c>
      <c r="Q86" s="177" t="s">
        <v>124</v>
      </c>
      <c r="R86" s="177" t="s">
        <v>124</v>
      </c>
      <c r="S86" s="91"/>
      <c r="T86" s="91"/>
    </row>
    <row r="87" spans="2:20" x14ac:dyDescent="0.25">
      <c r="B87" s="169">
        <v>82</v>
      </c>
      <c r="C87" s="91" t="s">
        <v>486</v>
      </c>
      <c r="D87" s="91" t="s">
        <v>31</v>
      </c>
      <c r="E87" s="91" t="s">
        <v>401</v>
      </c>
      <c r="F87" s="91" t="s">
        <v>402</v>
      </c>
      <c r="G87" s="169">
        <v>82120</v>
      </c>
      <c r="H87" s="91" t="s">
        <v>101</v>
      </c>
      <c r="I87" s="575"/>
      <c r="J87" s="564">
        <v>1182040</v>
      </c>
      <c r="K87" s="578">
        <f t="shared" si="3"/>
        <v>1182040</v>
      </c>
      <c r="L87" s="176" t="s">
        <v>124</v>
      </c>
      <c r="M87" s="564">
        <f t="shared" si="2"/>
        <v>59102</v>
      </c>
      <c r="N87" s="177" t="s">
        <v>124</v>
      </c>
      <c r="O87" s="177" t="s">
        <v>124</v>
      </c>
      <c r="P87" s="177" t="s">
        <v>124</v>
      </c>
      <c r="Q87" s="177" t="s">
        <v>124</v>
      </c>
      <c r="R87" s="177" t="s">
        <v>124</v>
      </c>
      <c r="S87" s="91"/>
      <c r="T87" s="91"/>
    </row>
    <row r="88" spans="2:20" x14ac:dyDescent="0.25">
      <c r="B88" s="169">
        <v>83</v>
      </c>
      <c r="C88" s="91" t="s">
        <v>486</v>
      </c>
      <c r="D88" s="91" t="s">
        <v>31</v>
      </c>
      <c r="E88" s="91" t="s">
        <v>403</v>
      </c>
      <c r="F88" s="91" t="s">
        <v>404</v>
      </c>
      <c r="G88" s="169">
        <v>82110</v>
      </c>
      <c r="H88" s="91" t="s">
        <v>101</v>
      </c>
      <c r="I88" s="575"/>
      <c r="J88" s="564">
        <v>1182040</v>
      </c>
      <c r="K88" s="578">
        <f t="shared" si="3"/>
        <v>1182040</v>
      </c>
      <c r="L88" s="176" t="s">
        <v>124</v>
      </c>
      <c r="M88" s="564">
        <f t="shared" si="2"/>
        <v>59102</v>
      </c>
      <c r="N88" s="177" t="s">
        <v>124</v>
      </c>
      <c r="O88" s="177" t="s">
        <v>124</v>
      </c>
      <c r="P88" s="177" t="s">
        <v>124</v>
      </c>
      <c r="Q88" s="177" t="s">
        <v>124</v>
      </c>
      <c r="R88" s="177" t="s">
        <v>124</v>
      </c>
      <c r="S88" s="91"/>
      <c r="T88" s="91"/>
    </row>
    <row r="89" spans="2:20" x14ac:dyDescent="0.25">
      <c r="B89" s="169">
        <v>84</v>
      </c>
      <c r="C89" s="91" t="s">
        <v>486</v>
      </c>
      <c r="D89" s="91" t="s">
        <v>31</v>
      </c>
      <c r="E89" s="91" t="s">
        <v>390</v>
      </c>
      <c r="F89" s="91" t="s">
        <v>405</v>
      </c>
      <c r="G89" s="169">
        <v>81271</v>
      </c>
      <c r="H89" s="91" t="s">
        <v>34</v>
      </c>
      <c r="I89" s="575"/>
      <c r="J89" s="564">
        <v>1182040</v>
      </c>
      <c r="K89" s="578">
        <f t="shared" si="3"/>
        <v>1182040</v>
      </c>
      <c r="L89" s="176" t="s">
        <v>124</v>
      </c>
      <c r="M89" s="564">
        <f t="shared" si="2"/>
        <v>59102</v>
      </c>
      <c r="N89" s="177" t="s">
        <v>124</v>
      </c>
      <c r="O89" s="177" t="s">
        <v>124</v>
      </c>
      <c r="P89" s="177" t="s">
        <v>124</v>
      </c>
      <c r="Q89" s="177" t="s">
        <v>124</v>
      </c>
      <c r="R89" s="177" t="s">
        <v>124</v>
      </c>
      <c r="S89" s="91"/>
      <c r="T89" s="91"/>
    </row>
    <row r="90" spans="2:20" x14ac:dyDescent="0.25">
      <c r="B90" s="169">
        <v>85</v>
      </c>
      <c r="C90" s="91" t="s">
        <v>486</v>
      </c>
      <c r="D90" s="91" t="s">
        <v>31</v>
      </c>
      <c r="E90" s="91" t="s">
        <v>504</v>
      </c>
      <c r="F90" s="91" t="s">
        <v>407</v>
      </c>
      <c r="G90" s="169">
        <v>82010</v>
      </c>
      <c r="H90" s="91" t="s">
        <v>101</v>
      </c>
      <c r="I90" s="575"/>
      <c r="J90" s="564">
        <v>1182040</v>
      </c>
      <c r="K90" s="578">
        <f t="shared" si="3"/>
        <v>1182040</v>
      </c>
      <c r="L90" s="176" t="s">
        <v>124</v>
      </c>
      <c r="M90" s="564">
        <f t="shared" si="2"/>
        <v>59102</v>
      </c>
      <c r="N90" s="177" t="s">
        <v>124</v>
      </c>
      <c r="O90" s="177" t="s">
        <v>124</v>
      </c>
      <c r="P90" s="177" t="s">
        <v>124</v>
      </c>
      <c r="Q90" s="177" t="s">
        <v>124</v>
      </c>
      <c r="R90" s="177" t="s">
        <v>124</v>
      </c>
      <c r="S90" s="91"/>
      <c r="T90" s="91"/>
    </row>
    <row r="91" spans="2:20" x14ac:dyDescent="0.25">
      <c r="B91" s="169">
        <v>86</v>
      </c>
      <c r="C91" s="91" t="s">
        <v>486</v>
      </c>
      <c r="D91" s="91" t="s">
        <v>31</v>
      </c>
      <c r="E91" s="91" t="s">
        <v>505</v>
      </c>
      <c r="F91" s="91" t="s">
        <v>407</v>
      </c>
      <c r="G91" s="169">
        <v>82010</v>
      </c>
      <c r="H91" s="91" t="s">
        <v>101</v>
      </c>
      <c r="I91" s="575"/>
      <c r="J91" s="564">
        <v>108000</v>
      </c>
      <c r="K91" s="578">
        <f t="shared" si="3"/>
        <v>108000</v>
      </c>
      <c r="L91" s="176" t="s">
        <v>124</v>
      </c>
      <c r="M91" s="564">
        <f t="shared" si="2"/>
        <v>5400</v>
      </c>
      <c r="N91" s="177" t="s">
        <v>124</v>
      </c>
      <c r="O91" s="177" t="s">
        <v>124</v>
      </c>
      <c r="P91" s="177" t="s">
        <v>124</v>
      </c>
      <c r="Q91" s="177" t="s">
        <v>124</v>
      </c>
      <c r="R91" s="177" t="s">
        <v>124</v>
      </c>
      <c r="S91" s="91"/>
      <c r="T91" s="91"/>
    </row>
    <row r="92" spans="2:20" x14ac:dyDescent="0.25">
      <c r="B92" s="169">
        <v>87</v>
      </c>
      <c r="C92" s="91" t="s">
        <v>486</v>
      </c>
      <c r="D92" s="91" t="s">
        <v>31</v>
      </c>
      <c r="E92" s="91" t="s">
        <v>506</v>
      </c>
      <c r="F92" s="91" t="s">
        <v>410</v>
      </c>
      <c r="G92" s="169">
        <v>80000</v>
      </c>
      <c r="H92" s="91" t="s">
        <v>5</v>
      </c>
      <c r="I92" s="575"/>
      <c r="J92" s="564">
        <v>371160</v>
      </c>
      <c r="K92" s="578">
        <f t="shared" si="3"/>
        <v>371160</v>
      </c>
      <c r="L92" s="176" t="s">
        <v>124</v>
      </c>
      <c r="M92" s="564">
        <f t="shared" si="2"/>
        <v>18558</v>
      </c>
      <c r="N92" s="177" t="s">
        <v>124</v>
      </c>
      <c r="O92" s="177" t="s">
        <v>124</v>
      </c>
      <c r="P92" s="177" t="s">
        <v>124</v>
      </c>
      <c r="Q92" s="177" t="s">
        <v>124</v>
      </c>
      <c r="R92" s="177" t="s">
        <v>124</v>
      </c>
      <c r="S92" s="91"/>
      <c r="T92" s="91"/>
    </row>
    <row r="93" spans="2:20" x14ac:dyDescent="0.25">
      <c r="B93" s="169">
        <v>88</v>
      </c>
      <c r="C93" s="91" t="s">
        <v>486</v>
      </c>
      <c r="D93" s="91" t="s">
        <v>31</v>
      </c>
      <c r="E93" s="91" t="s">
        <v>507</v>
      </c>
      <c r="F93" s="91" t="s">
        <v>412</v>
      </c>
      <c r="G93" s="169">
        <v>82210</v>
      </c>
      <c r="H93" s="91" t="s">
        <v>101</v>
      </c>
      <c r="I93" s="575"/>
      <c r="J93" s="564">
        <v>638100</v>
      </c>
      <c r="K93" s="578">
        <f t="shared" si="3"/>
        <v>638100</v>
      </c>
      <c r="L93" s="176" t="s">
        <v>124</v>
      </c>
      <c r="M93" s="564">
        <f t="shared" si="2"/>
        <v>31905</v>
      </c>
      <c r="N93" s="177" t="s">
        <v>124</v>
      </c>
      <c r="O93" s="177" t="s">
        <v>124</v>
      </c>
      <c r="P93" s="177" t="s">
        <v>124</v>
      </c>
      <c r="Q93" s="177" t="s">
        <v>124</v>
      </c>
      <c r="R93" s="177" t="s">
        <v>124</v>
      </c>
      <c r="S93" s="91"/>
      <c r="T93" s="91"/>
    </row>
    <row r="94" spans="2:20" x14ac:dyDescent="0.25">
      <c r="B94" s="169">
        <v>89</v>
      </c>
      <c r="C94" s="91" t="s">
        <v>486</v>
      </c>
      <c r="D94" s="91" t="s">
        <v>31</v>
      </c>
      <c r="E94" s="91" t="s">
        <v>508</v>
      </c>
      <c r="F94" s="91" t="s">
        <v>414</v>
      </c>
      <c r="G94" s="169">
        <v>82124</v>
      </c>
      <c r="H94" s="91" t="s">
        <v>101</v>
      </c>
      <c r="I94" s="575"/>
      <c r="J94" s="564">
        <v>137200</v>
      </c>
      <c r="K94" s="578">
        <f t="shared" si="3"/>
        <v>137200</v>
      </c>
      <c r="L94" s="176" t="s">
        <v>124</v>
      </c>
      <c r="M94" s="564">
        <f t="shared" si="2"/>
        <v>6860</v>
      </c>
      <c r="N94" s="177" t="s">
        <v>124</v>
      </c>
      <c r="O94" s="177" t="s">
        <v>124</v>
      </c>
      <c r="P94" s="177" t="s">
        <v>124</v>
      </c>
      <c r="Q94" s="177" t="s">
        <v>124</v>
      </c>
      <c r="R94" s="177" t="s">
        <v>124</v>
      </c>
      <c r="S94" s="91"/>
      <c r="T94" s="91"/>
    </row>
    <row r="95" spans="2:20" x14ac:dyDescent="0.25">
      <c r="B95" s="169">
        <v>90</v>
      </c>
      <c r="C95" s="91" t="s">
        <v>486</v>
      </c>
      <c r="D95" s="91" t="s">
        <v>31</v>
      </c>
      <c r="E95" s="91" t="s">
        <v>415</v>
      </c>
      <c r="F95" s="91" t="s">
        <v>416</v>
      </c>
      <c r="G95" s="169">
        <v>82126</v>
      </c>
      <c r="H95" s="91" t="s">
        <v>101</v>
      </c>
      <c r="I95" s="575"/>
      <c r="J95" s="564">
        <v>378000</v>
      </c>
      <c r="K95" s="578">
        <f t="shared" si="3"/>
        <v>378000</v>
      </c>
      <c r="L95" s="176" t="s">
        <v>124</v>
      </c>
      <c r="M95" s="564">
        <f t="shared" si="2"/>
        <v>18900</v>
      </c>
      <c r="N95" s="177" t="s">
        <v>124</v>
      </c>
      <c r="O95" s="177" t="s">
        <v>124</v>
      </c>
      <c r="P95" s="177" t="s">
        <v>124</v>
      </c>
      <c r="Q95" s="177" t="s">
        <v>124</v>
      </c>
      <c r="R95" s="177" t="s">
        <v>124</v>
      </c>
      <c r="S95" s="91"/>
      <c r="T95" s="91"/>
    </row>
    <row r="96" spans="2:20" x14ac:dyDescent="0.25">
      <c r="B96" s="169">
        <v>91</v>
      </c>
      <c r="C96" s="91" t="s">
        <v>486</v>
      </c>
      <c r="D96" s="91" t="s">
        <v>31</v>
      </c>
      <c r="E96" s="91" t="s">
        <v>417</v>
      </c>
      <c r="F96" s="91" t="s">
        <v>418</v>
      </c>
      <c r="G96" s="169">
        <v>82181</v>
      </c>
      <c r="H96" s="91" t="s">
        <v>101</v>
      </c>
      <c r="I96" s="575"/>
      <c r="J96" s="564">
        <v>676000</v>
      </c>
      <c r="K96" s="578">
        <f t="shared" si="3"/>
        <v>676000</v>
      </c>
      <c r="L96" s="176" t="s">
        <v>124</v>
      </c>
      <c r="M96" s="564">
        <f t="shared" si="2"/>
        <v>33800</v>
      </c>
      <c r="N96" s="177" t="s">
        <v>124</v>
      </c>
      <c r="O96" s="177" t="s">
        <v>124</v>
      </c>
      <c r="P96" s="177" t="s">
        <v>124</v>
      </c>
      <c r="Q96" s="177" t="s">
        <v>124</v>
      </c>
      <c r="R96" s="177" t="s">
        <v>124</v>
      </c>
      <c r="S96" s="91"/>
      <c r="T96" s="91"/>
    </row>
    <row r="97" spans="2:20" x14ac:dyDescent="0.25">
      <c r="B97" s="169">
        <v>92</v>
      </c>
      <c r="C97" s="91" t="s">
        <v>486</v>
      </c>
      <c r="D97" s="91" t="s">
        <v>31</v>
      </c>
      <c r="E97" s="91" t="s">
        <v>132</v>
      </c>
      <c r="F97" s="91" t="s">
        <v>419</v>
      </c>
      <c r="G97" s="169">
        <v>80220</v>
      </c>
      <c r="H97" s="91" t="s">
        <v>5</v>
      </c>
      <c r="I97" s="575"/>
      <c r="J97" s="564">
        <v>606000</v>
      </c>
      <c r="K97" s="578">
        <f t="shared" si="3"/>
        <v>606000</v>
      </c>
      <c r="L97" s="176" t="s">
        <v>124</v>
      </c>
      <c r="M97" s="564">
        <f t="shared" si="2"/>
        <v>30300</v>
      </c>
      <c r="N97" s="177" t="s">
        <v>124</v>
      </c>
      <c r="O97" s="177" t="s">
        <v>124</v>
      </c>
      <c r="P97" s="177" t="s">
        <v>124</v>
      </c>
      <c r="Q97" s="177" t="s">
        <v>124</v>
      </c>
      <c r="R97" s="177" t="s">
        <v>124</v>
      </c>
      <c r="S97" s="91"/>
      <c r="T97" s="91"/>
    </row>
    <row r="98" spans="2:20" x14ac:dyDescent="0.25">
      <c r="B98" s="169">
        <v>93</v>
      </c>
      <c r="C98" s="91" t="s">
        <v>486</v>
      </c>
      <c r="D98" s="91" t="s">
        <v>31</v>
      </c>
      <c r="E98" s="91" t="s">
        <v>420</v>
      </c>
      <c r="F98" s="91" t="s">
        <v>421</v>
      </c>
      <c r="G98" s="169">
        <v>82017</v>
      </c>
      <c r="H98" s="91" t="s">
        <v>101</v>
      </c>
      <c r="I98" s="575"/>
      <c r="J98" s="564">
        <v>300000</v>
      </c>
      <c r="K98" s="578">
        <f t="shared" si="3"/>
        <v>300000</v>
      </c>
      <c r="L98" s="176" t="s">
        <v>124</v>
      </c>
      <c r="M98" s="564">
        <f t="shared" si="2"/>
        <v>15000</v>
      </c>
      <c r="N98" s="177" t="s">
        <v>124</v>
      </c>
      <c r="O98" s="177" t="s">
        <v>124</v>
      </c>
      <c r="P98" s="177" t="s">
        <v>124</v>
      </c>
      <c r="Q98" s="177" t="s">
        <v>124</v>
      </c>
      <c r="R98" s="177" t="s">
        <v>124</v>
      </c>
      <c r="S98" s="91"/>
      <c r="T98" s="91"/>
    </row>
    <row r="99" spans="2:20" x14ac:dyDescent="0.25">
      <c r="B99" s="169">
        <v>94</v>
      </c>
      <c r="C99" s="91" t="s">
        <v>486</v>
      </c>
      <c r="D99" s="91" t="s">
        <v>31</v>
      </c>
      <c r="E99" s="91" t="s">
        <v>422</v>
      </c>
      <c r="F99" s="91" t="s">
        <v>423</v>
      </c>
      <c r="G99" s="169">
        <v>82017</v>
      </c>
      <c r="H99" s="91" t="s">
        <v>101</v>
      </c>
      <c r="I99" s="575"/>
      <c r="J99" s="564">
        <v>600000</v>
      </c>
      <c r="K99" s="578">
        <f t="shared" si="3"/>
        <v>600000</v>
      </c>
      <c r="L99" s="176" t="s">
        <v>124</v>
      </c>
      <c r="M99" s="564">
        <f t="shared" si="2"/>
        <v>30000</v>
      </c>
      <c r="N99" s="177" t="s">
        <v>124</v>
      </c>
      <c r="O99" s="177" t="s">
        <v>124</v>
      </c>
      <c r="P99" s="177" t="s">
        <v>124</v>
      </c>
      <c r="Q99" s="177" t="s">
        <v>124</v>
      </c>
      <c r="R99" s="177" t="s">
        <v>124</v>
      </c>
      <c r="S99" s="91"/>
      <c r="T99" s="91"/>
    </row>
    <row r="100" spans="2:20" x14ac:dyDescent="0.25">
      <c r="B100" s="169">
        <v>95</v>
      </c>
      <c r="C100" s="91" t="s">
        <v>486</v>
      </c>
      <c r="D100" s="91" t="s">
        <v>31</v>
      </c>
      <c r="E100" s="91" t="s">
        <v>424</v>
      </c>
      <c r="F100" s="91" t="s">
        <v>425</v>
      </c>
      <c r="G100" s="169">
        <v>81315</v>
      </c>
      <c r="H100" s="91" t="s">
        <v>34</v>
      </c>
      <c r="I100" s="575"/>
      <c r="J100" s="564">
        <v>450000</v>
      </c>
      <c r="K100" s="578">
        <f t="shared" si="3"/>
        <v>450000</v>
      </c>
      <c r="L100" s="176" t="s">
        <v>124</v>
      </c>
      <c r="M100" s="564">
        <f t="shared" si="2"/>
        <v>22500</v>
      </c>
      <c r="N100" s="177" t="s">
        <v>124</v>
      </c>
      <c r="O100" s="177" t="s">
        <v>124</v>
      </c>
      <c r="P100" s="177" t="s">
        <v>124</v>
      </c>
      <c r="Q100" s="177" t="s">
        <v>124</v>
      </c>
      <c r="R100" s="177" t="s">
        <v>124</v>
      </c>
      <c r="S100" s="91"/>
      <c r="T100" s="91"/>
    </row>
    <row r="101" spans="2:20" x14ac:dyDescent="0.25">
      <c r="B101" s="169">
        <v>96</v>
      </c>
      <c r="C101" s="91" t="s">
        <v>486</v>
      </c>
      <c r="D101" s="91" t="s">
        <v>31</v>
      </c>
      <c r="E101" s="91" t="s">
        <v>426</v>
      </c>
      <c r="F101" s="91" t="s">
        <v>427</v>
      </c>
      <c r="G101" s="169">
        <v>80160</v>
      </c>
      <c r="H101" s="91" t="s">
        <v>5</v>
      </c>
      <c r="I101" s="575"/>
      <c r="J101" s="564">
        <v>480000</v>
      </c>
      <c r="K101" s="578">
        <f t="shared" si="3"/>
        <v>480000</v>
      </c>
      <c r="L101" s="176" t="s">
        <v>124</v>
      </c>
      <c r="M101" s="564">
        <f t="shared" si="2"/>
        <v>24000</v>
      </c>
      <c r="N101" s="177" t="s">
        <v>124</v>
      </c>
      <c r="O101" s="177" t="s">
        <v>124</v>
      </c>
      <c r="P101" s="177" t="s">
        <v>124</v>
      </c>
      <c r="Q101" s="177" t="s">
        <v>124</v>
      </c>
      <c r="R101" s="177" t="s">
        <v>124</v>
      </c>
      <c r="S101" s="91"/>
      <c r="T101" s="91"/>
    </row>
    <row r="102" spans="2:20" x14ac:dyDescent="0.25">
      <c r="B102" s="169">
        <v>97</v>
      </c>
      <c r="C102" s="91" t="s">
        <v>486</v>
      </c>
      <c r="D102" s="91" t="s">
        <v>31</v>
      </c>
      <c r="E102" s="91" t="s">
        <v>426</v>
      </c>
      <c r="F102" s="91" t="s">
        <v>427</v>
      </c>
      <c r="G102" s="169">
        <v>80160</v>
      </c>
      <c r="H102" s="91" t="s">
        <v>5</v>
      </c>
      <c r="I102" s="575"/>
      <c r="J102" s="564">
        <v>480000</v>
      </c>
      <c r="K102" s="578">
        <f t="shared" si="3"/>
        <v>480000</v>
      </c>
      <c r="L102" s="176" t="s">
        <v>124</v>
      </c>
      <c r="M102" s="564">
        <f t="shared" si="2"/>
        <v>24000</v>
      </c>
      <c r="N102" s="177" t="s">
        <v>124</v>
      </c>
      <c r="O102" s="177" t="s">
        <v>124</v>
      </c>
      <c r="P102" s="177" t="s">
        <v>124</v>
      </c>
      <c r="Q102" s="177" t="s">
        <v>124</v>
      </c>
      <c r="R102" s="177" t="s">
        <v>124</v>
      </c>
      <c r="S102" s="91"/>
      <c r="T102" s="91"/>
    </row>
    <row r="103" spans="2:20" x14ac:dyDescent="0.25">
      <c r="B103" s="169">
        <v>98</v>
      </c>
      <c r="C103" s="91" t="s">
        <v>486</v>
      </c>
      <c r="D103" s="91" t="s">
        <v>31</v>
      </c>
      <c r="E103" s="91" t="s">
        <v>426</v>
      </c>
      <c r="F103" s="91" t="s">
        <v>428</v>
      </c>
      <c r="G103" s="169">
        <v>80160</v>
      </c>
      <c r="H103" s="91" t="s">
        <v>5</v>
      </c>
      <c r="I103" s="575"/>
      <c r="J103" s="564">
        <v>974000</v>
      </c>
      <c r="K103" s="578">
        <f t="shared" si="3"/>
        <v>974000</v>
      </c>
      <c r="L103" s="176" t="s">
        <v>124</v>
      </c>
      <c r="M103" s="564">
        <f t="shared" si="2"/>
        <v>48700</v>
      </c>
      <c r="N103" s="177" t="s">
        <v>124</v>
      </c>
      <c r="O103" s="177" t="s">
        <v>124</v>
      </c>
      <c r="P103" s="177" t="s">
        <v>124</v>
      </c>
      <c r="Q103" s="177" t="s">
        <v>124</v>
      </c>
      <c r="R103" s="177" t="s">
        <v>124</v>
      </c>
      <c r="S103" s="91"/>
      <c r="T103" s="91"/>
    </row>
    <row r="104" spans="2:20" x14ac:dyDescent="0.25">
      <c r="B104" s="169">
        <v>99</v>
      </c>
      <c r="C104" s="91" t="s">
        <v>486</v>
      </c>
      <c r="D104" s="91" t="s">
        <v>31</v>
      </c>
      <c r="E104" s="91" t="s">
        <v>430</v>
      </c>
      <c r="F104" s="91" t="s">
        <v>431</v>
      </c>
      <c r="G104" s="169">
        <v>82017</v>
      </c>
      <c r="H104" s="91" t="s">
        <v>101</v>
      </c>
      <c r="I104" s="575"/>
      <c r="J104" s="564">
        <v>213680</v>
      </c>
      <c r="K104" s="578">
        <f t="shared" si="3"/>
        <v>213680</v>
      </c>
      <c r="L104" s="176" t="s">
        <v>124</v>
      </c>
      <c r="M104" s="564">
        <f t="shared" si="2"/>
        <v>10684</v>
      </c>
      <c r="N104" s="177" t="s">
        <v>124</v>
      </c>
      <c r="O104" s="177" t="s">
        <v>124</v>
      </c>
      <c r="P104" s="177" t="s">
        <v>124</v>
      </c>
      <c r="Q104" s="177" t="s">
        <v>124</v>
      </c>
      <c r="R104" s="177" t="s">
        <v>124</v>
      </c>
      <c r="S104" s="91"/>
      <c r="T104" s="91"/>
    </row>
    <row r="105" spans="2:20" x14ac:dyDescent="0.25">
      <c r="B105" s="169">
        <v>100</v>
      </c>
      <c r="C105" s="91" t="s">
        <v>486</v>
      </c>
      <c r="D105" s="91" t="s">
        <v>31</v>
      </c>
      <c r="E105" s="91" t="s">
        <v>432</v>
      </c>
      <c r="F105" s="91" t="s">
        <v>433</v>
      </c>
      <c r="G105" s="169">
        <v>82143</v>
      </c>
      <c r="H105" s="91" t="s">
        <v>101</v>
      </c>
      <c r="I105" s="575"/>
      <c r="J105" s="564">
        <v>238040</v>
      </c>
      <c r="K105" s="578">
        <f t="shared" si="3"/>
        <v>238040</v>
      </c>
      <c r="L105" s="176" t="s">
        <v>124</v>
      </c>
      <c r="M105" s="564">
        <f t="shared" si="2"/>
        <v>11902</v>
      </c>
      <c r="N105" s="177" t="s">
        <v>124</v>
      </c>
      <c r="O105" s="177" t="s">
        <v>124</v>
      </c>
      <c r="P105" s="177" t="s">
        <v>124</v>
      </c>
      <c r="Q105" s="177" t="s">
        <v>124</v>
      </c>
      <c r="R105" s="177" t="s">
        <v>124</v>
      </c>
      <c r="S105" s="91"/>
      <c r="T105" s="91"/>
    </row>
    <row r="106" spans="2:20" x14ac:dyDescent="0.25">
      <c r="B106" s="169">
        <v>101</v>
      </c>
      <c r="C106" s="91" t="s">
        <v>486</v>
      </c>
      <c r="D106" s="91" t="s">
        <v>31</v>
      </c>
      <c r="E106" s="91" t="s">
        <v>330</v>
      </c>
      <c r="F106" s="91" t="s">
        <v>434</v>
      </c>
      <c r="G106" s="169">
        <v>80177</v>
      </c>
      <c r="H106" s="91" t="s">
        <v>5</v>
      </c>
      <c r="I106" s="575"/>
      <c r="J106" s="564">
        <v>230000</v>
      </c>
      <c r="K106" s="578">
        <f t="shared" si="3"/>
        <v>230000</v>
      </c>
      <c r="L106" s="176" t="s">
        <v>124</v>
      </c>
      <c r="M106" s="564">
        <f t="shared" si="2"/>
        <v>11500</v>
      </c>
      <c r="N106" s="177" t="s">
        <v>124</v>
      </c>
      <c r="O106" s="177" t="s">
        <v>124</v>
      </c>
      <c r="P106" s="177" t="s">
        <v>124</v>
      </c>
      <c r="Q106" s="177" t="s">
        <v>124</v>
      </c>
      <c r="R106" s="177" t="s">
        <v>124</v>
      </c>
      <c r="S106" s="91"/>
      <c r="T106" s="91"/>
    </row>
    <row r="107" spans="2:20" x14ac:dyDescent="0.25">
      <c r="B107" s="169">
        <v>102</v>
      </c>
      <c r="C107" s="91" t="s">
        <v>486</v>
      </c>
      <c r="D107" s="91" t="s">
        <v>31</v>
      </c>
      <c r="E107" s="91" t="s">
        <v>435</v>
      </c>
      <c r="F107" s="91" t="s">
        <v>436</v>
      </c>
      <c r="G107" s="169">
        <v>81040</v>
      </c>
      <c r="H107" s="91" t="s">
        <v>4</v>
      </c>
      <c r="I107" s="575"/>
      <c r="J107" s="564">
        <v>260000</v>
      </c>
      <c r="K107" s="578">
        <f t="shared" si="3"/>
        <v>260000</v>
      </c>
      <c r="L107" s="176" t="s">
        <v>124</v>
      </c>
      <c r="M107" s="564">
        <f t="shared" si="2"/>
        <v>13000</v>
      </c>
      <c r="N107" s="177" t="s">
        <v>124</v>
      </c>
      <c r="O107" s="177" t="s">
        <v>124</v>
      </c>
      <c r="P107" s="177" t="s">
        <v>124</v>
      </c>
      <c r="Q107" s="177" t="s">
        <v>124</v>
      </c>
      <c r="R107" s="177" t="s">
        <v>124</v>
      </c>
      <c r="S107" s="91"/>
      <c r="T107" s="91"/>
    </row>
    <row r="108" spans="2:20" x14ac:dyDescent="0.25">
      <c r="B108" s="169">
        <v>103</v>
      </c>
      <c r="C108" s="91" t="s">
        <v>486</v>
      </c>
      <c r="D108" s="91" t="s">
        <v>31</v>
      </c>
      <c r="E108" s="91" t="s">
        <v>440</v>
      </c>
      <c r="F108" s="91" t="s">
        <v>441</v>
      </c>
      <c r="G108" s="169">
        <v>81280</v>
      </c>
      <c r="H108" s="91" t="s">
        <v>34</v>
      </c>
      <c r="I108" s="575"/>
      <c r="J108" s="564">
        <v>735260</v>
      </c>
      <c r="K108" s="578">
        <f t="shared" si="3"/>
        <v>735260</v>
      </c>
      <c r="L108" s="176" t="s">
        <v>124</v>
      </c>
      <c r="M108" s="564">
        <f t="shared" si="2"/>
        <v>36763</v>
      </c>
      <c r="N108" s="177" t="s">
        <v>124</v>
      </c>
      <c r="O108" s="177" t="s">
        <v>124</v>
      </c>
      <c r="P108" s="177" t="s">
        <v>124</v>
      </c>
      <c r="Q108" s="177" t="s">
        <v>124</v>
      </c>
      <c r="R108" s="177" t="s">
        <v>124</v>
      </c>
      <c r="S108" s="91"/>
      <c r="T108" s="91"/>
    </row>
    <row r="109" spans="2:20" x14ac:dyDescent="0.25">
      <c r="B109" s="169">
        <v>104</v>
      </c>
      <c r="C109" s="91" t="s">
        <v>486</v>
      </c>
      <c r="D109" s="91" t="s">
        <v>31</v>
      </c>
      <c r="E109" s="91" t="s">
        <v>417</v>
      </c>
      <c r="F109" s="91" t="s">
        <v>442</v>
      </c>
      <c r="G109" s="169">
        <v>80000</v>
      </c>
      <c r="H109" s="91" t="s">
        <v>5</v>
      </c>
      <c r="I109" s="575"/>
      <c r="J109" s="564">
        <v>2123580</v>
      </c>
      <c r="K109" s="578">
        <f t="shared" si="3"/>
        <v>2123580</v>
      </c>
      <c r="L109" s="176" t="s">
        <v>124</v>
      </c>
      <c r="M109" s="564">
        <f t="shared" si="2"/>
        <v>106179</v>
      </c>
      <c r="N109" s="177" t="s">
        <v>124</v>
      </c>
      <c r="O109" s="177" t="s">
        <v>124</v>
      </c>
      <c r="P109" s="177" t="s">
        <v>124</v>
      </c>
      <c r="Q109" s="177" t="s">
        <v>124</v>
      </c>
      <c r="R109" s="177" t="s">
        <v>124</v>
      </c>
      <c r="S109" s="91"/>
      <c r="T109" s="91"/>
    </row>
    <row r="110" spans="2:20" x14ac:dyDescent="0.25">
      <c r="B110" s="169">
        <v>105</v>
      </c>
      <c r="C110" s="91" t="s">
        <v>486</v>
      </c>
      <c r="D110" s="91" t="s">
        <v>31</v>
      </c>
      <c r="E110" s="91" t="s">
        <v>509</v>
      </c>
      <c r="F110" s="91" t="s">
        <v>134</v>
      </c>
      <c r="G110" s="169">
        <v>81330</v>
      </c>
      <c r="H110" s="91" t="s">
        <v>34</v>
      </c>
      <c r="I110" s="575"/>
      <c r="J110" s="564">
        <v>179420</v>
      </c>
      <c r="K110" s="578">
        <f t="shared" si="3"/>
        <v>179420</v>
      </c>
      <c r="L110" s="176" t="s">
        <v>124</v>
      </c>
      <c r="M110" s="564">
        <f t="shared" si="2"/>
        <v>8971</v>
      </c>
      <c r="N110" s="177" t="s">
        <v>124</v>
      </c>
      <c r="O110" s="177" t="s">
        <v>124</v>
      </c>
      <c r="P110" s="177" t="s">
        <v>124</v>
      </c>
      <c r="Q110" s="177" t="s">
        <v>124</v>
      </c>
      <c r="R110" s="177" t="s">
        <v>124</v>
      </c>
      <c r="S110" s="91"/>
      <c r="T110" s="91"/>
    </row>
    <row r="111" spans="2:20" x14ac:dyDescent="0.25">
      <c r="B111" s="169">
        <v>106</v>
      </c>
      <c r="C111" s="91" t="s">
        <v>486</v>
      </c>
      <c r="D111" s="91" t="s">
        <v>31</v>
      </c>
      <c r="E111" s="91" t="s">
        <v>510</v>
      </c>
      <c r="F111" s="91" t="s">
        <v>445</v>
      </c>
      <c r="G111" s="169">
        <v>82013</v>
      </c>
      <c r="H111" s="91" t="s">
        <v>101</v>
      </c>
      <c r="I111" s="575"/>
      <c r="J111" s="564">
        <v>379600</v>
      </c>
      <c r="K111" s="578">
        <f t="shared" si="3"/>
        <v>379600</v>
      </c>
      <c r="L111" s="176" t="s">
        <v>124</v>
      </c>
      <c r="M111" s="564">
        <f t="shared" si="2"/>
        <v>18980</v>
      </c>
      <c r="N111" s="177" t="s">
        <v>124</v>
      </c>
      <c r="O111" s="177" t="s">
        <v>124</v>
      </c>
      <c r="P111" s="177" t="s">
        <v>124</v>
      </c>
      <c r="Q111" s="177" t="s">
        <v>124</v>
      </c>
      <c r="R111" s="177" t="s">
        <v>124</v>
      </c>
      <c r="S111" s="91"/>
      <c r="T111" s="91"/>
    </row>
    <row r="112" spans="2:20" x14ac:dyDescent="0.25">
      <c r="B112" s="169">
        <v>107</v>
      </c>
      <c r="C112" s="91" t="s">
        <v>486</v>
      </c>
      <c r="D112" s="91" t="s">
        <v>31</v>
      </c>
      <c r="E112" s="91" t="s">
        <v>511</v>
      </c>
      <c r="F112" s="91" t="s">
        <v>512</v>
      </c>
      <c r="G112" s="169">
        <v>80400</v>
      </c>
      <c r="H112" s="91" t="s">
        <v>5</v>
      </c>
      <c r="I112" s="575"/>
      <c r="J112" s="564">
        <v>3944000</v>
      </c>
      <c r="K112" s="578">
        <f t="shared" si="3"/>
        <v>3944000</v>
      </c>
      <c r="L112" s="176" t="s">
        <v>124</v>
      </c>
      <c r="M112" s="564">
        <f t="shared" si="2"/>
        <v>197200</v>
      </c>
      <c r="N112" s="177" t="s">
        <v>124</v>
      </c>
      <c r="O112" s="177" t="s">
        <v>124</v>
      </c>
      <c r="P112" s="177" t="s">
        <v>124</v>
      </c>
      <c r="Q112" s="177" t="s">
        <v>124</v>
      </c>
      <c r="R112" s="177" t="s">
        <v>124</v>
      </c>
      <c r="S112" s="91"/>
      <c r="T112" s="91"/>
    </row>
    <row r="113" spans="2:20" x14ac:dyDescent="0.25">
      <c r="B113" s="169">
        <v>108</v>
      </c>
      <c r="C113" s="91" t="s">
        <v>486</v>
      </c>
      <c r="D113" s="91" t="s">
        <v>31</v>
      </c>
      <c r="E113" s="91" t="s">
        <v>330</v>
      </c>
      <c r="F113" s="91" t="s">
        <v>449</v>
      </c>
      <c r="G113" s="169">
        <v>81200</v>
      </c>
      <c r="H113" s="91" t="s">
        <v>34</v>
      </c>
      <c r="I113" s="575"/>
      <c r="J113" s="564">
        <v>2632000</v>
      </c>
      <c r="K113" s="578">
        <f t="shared" si="3"/>
        <v>2632000</v>
      </c>
      <c r="L113" s="176" t="s">
        <v>124</v>
      </c>
      <c r="M113" s="564">
        <f t="shared" si="2"/>
        <v>131600</v>
      </c>
      <c r="N113" s="177" t="s">
        <v>124</v>
      </c>
      <c r="O113" s="177" t="s">
        <v>124</v>
      </c>
      <c r="P113" s="177" t="s">
        <v>124</v>
      </c>
      <c r="Q113" s="177" t="s">
        <v>124</v>
      </c>
      <c r="R113" s="177" t="s">
        <v>124</v>
      </c>
      <c r="S113" s="91"/>
      <c r="T113" s="91"/>
    </row>
    <row r="114" spans="2:20" x14ac:dyDescent="0.25">
      <c r="B114" s="169">
        <v>109</v>
      </c>
      <c r="C114" s="91" t="s">
        <v>486</v>
      </c>
      <c r="D114" s="91" t="s">
        <v>31</v>
      </c>
      <c r="E114" s="91" t="s">
        <v>135</v>
      </c>
      <c r="F114" s="91" t="s">
        <v>450</v>
      </c>
      <c r="G114" s="169">
        <v>80170</v>
      </c>
      <c r="H114" s="91" t="s">
        <v>5</v>
      </c>
      <c r="I114" s="575"/>
      <c r="J114" s="564">
        <v>2318000</v>
      </c>
      <c r="K114" s="578">
        <f t="shared" si="3"/>
        <v>2318000</v>
      </c>
      <c r="L114" s="176" t="s">
        <v>124</v>
      </c>
      <c r="M114" s="564">
        <f t="shared" si="2"/>
        <v>115900</v>
      </c>
      <c r="N114" s="177" t="s">
        <v>124</v>
      </c>
      <c r="O114" s="177" t="s">
        <v>124</v>
      </c>
      <c r="P114" s="177" t="s">
        <v>124</v>
      </c>
      <c r="Q114" s="177" t="s">
        <v>124</v>
      </c>
      <c r="R114" s="177" t="s">
        <v>124</v>
      </c>
      <c r="S114" s="91"/>
      <c r="T114" s="91"/>
    </row>
    <row r="115" spans="2:20" x14ac:dyDescent="0.25">
      <c r="B115" s="169">
        <v>110</v>
      </c>
      <c r="C115" s="91" t="s">
        <v>486</v>
      </c>
      <c r="D115" s="91" t="s">
        <v>31</v>
      </c>
      <c r="E115" s="91" t="s">
        <v>451</v>
      </c>
      <c r="F115" s="91" t="s">
        <v>136</v>
      </c>
      <c r="G115" s="169">
        <v>80080</v>
      </c>
      <c r="H115" s="91" t="s">
        <v>5</v>
      </c>
      <c r="I115" s="575"/>
      <c r="J115" s="564">
        <v>532640</v>
      </c>
      <c r="K115" s="578">
        <f t="shared" si="3"/>
        <v>532640</v>
      </c>
      <c r="L115" s="176" t="s">
        <v>124</v>
      </c>
      <c r="M115" s="564">
        <f t="shared" si="2"/>
        <v>26632</v>
      </c>
      <c r="N115" s="177" t="s">
        <v>124</v>
      </c>
      <c r="O115" s="177" t="s">
        <v>124</v>
      </c>
      <c r="P115" s="177" t="s">
        <v>124</v>
      </c>
      <c r="Q115" s="177" t="s">
        <v>124</v>
      </c>
      <c r="R115" s="177" t="s">
        <v>124</v>
      </c>
      <c r="S115" s="91"/>
      <c r="T115" s="91"/>
    </row>
    <row r="116" spans="2:20" x14ac:dyDescent="0.25">
      <c r="B116" s="169">
        <v>111</v>
      </c>
      <c r="C116" s="91" t="s">
        <v>486</v>
      </c>
      <c r="D116" s="91" t="s">
        <v>31</v>
      </c>
      <c r="E116" s="91" t="s">
        <v>452</v>
      </c>
      <c r="F116" s="91" t="s">
        <v>513</v>
      </c>
      <c r="G116" s="169">
        <v>81280</v>
      </c>
      <c r="H116" s="91" t="s">
        <v>34</v>
      </c>
      <c r="I116" s="575"/>
      <c r="J116" s="564">
        <v>480000</v>
      </c>
      <c r="K116" s="578">
        <f t="shared" si="3"/>
        <v>480000</v>
      </c>
      <c r="L116" s="176" t="s">
        <v>124</v>
      </c>
      <c r="M116" s="564">
        <f t="shared" si="2"/>
        <v>24000</v>
      </c>
      <c r="N116" s="177" t="s">
        <v>124</v>
      </c>
      <c r="O116" s="177" t="s">
        <v>124</v>
      </c>
      <c r="P116" s="177" t="s">
        <v>124</v>
      </c>
      <c r="Q116" s="177" t="s">
        <v>124</v>
      </c>
      <c r="R116" s="177" t="s">
        <v>124</v>
      </c>
      <c r="S116" s="91"/>
      <c r="T116" s="91"/>
    </row>
    <row r="117" spans="2:20" x14ac:dyDescent="0.25">
      <c r="B117" s="169">
        <v>112</v>
      </c>
      <c r="C117" s="91" t="s">
        <v>486</v>
      </c>
      <c r="D117" s="91" t="s">
        <v>31</v>
      </c>
      <c r="E117" s="91" t="s">
        <v>514</v>
      </c>
      <c r="F117" s="91" t="s">
        <v>515</v>
      </c>
      <c r="G117" s="169">
        <v>81240</v>
      </c>
      <c r="H117" s="91" t="s">
        <v>34</v>
      </c>
      <c r="I117" s="575"/>
      <c r="J117" s="564">
        <v>343000</v>
      </c>
      <c r="K117" s="578">
        <f t="shared" si="3"/>
        <v>343000</v>
      </c>
      <c r="L117" s="176" t="s">
        <v>124</v>
      </c>
      <c r="M117" s="564">
        <f t="shared" si="2"/>
        <v>17150</v>
      </c>
      <c r="N117" s="177" t="s">
        <v>124</v>
      </c>
      <c r="O117" s="177" t="s">
        <v>124</v>
      </c>
      <c r="P117" s="177" t="s">
        <v>124</v>
      </c>
      <c r="Q117" s="177" t="s">
        <v>124</v>
      </c>
      <c r="R117" s="177" t="s">
        <v>124</v>
      </c>
      <c r="S117" s="91"/>
      <c r="T117" s="91"/>
    </row>
    <row r="118" spans="2:20" x14ac:dyDescent="0.25">
      <c r="B118" s="169">
        <v>113</v>
      </c>
      <c r="C118" s="91" t="s">
        <v>486</v>
      </c>
      <c r="D118" s="91" t="s">
        <v>31</v>
      </c>
      <c r="E118" s="91" t="s">
        <v>516</v>
      </c>
      <c r="F118" s="91" t="s">
        <v>459</v>
      </c>
      <c r="G118" s="169">
        <v>82138</v>
      </c>
      <c r="H118" s="91" t="s">
        <v>101</v>
      </c>
      <c r="I118" s="575"/>
      <c r="J118" s="564">
        <v>120160</v>
      </c>
      <c r="K118" s="578">
        <f t="shared" si="3"/>
        <v>120160</v>
      </c>
      <c r="L118" s="176" t="s">
        <v>124</v>
      </c>
      <c r="M118" s="564">
        <f t="shared" si="2"/>
        <v>6008</v>
      </c>
      <c r="N118" s="177" t="s">
        <v>124</v>
      </c>
      <c r="O118" s="177" t="s">
        <v>124</v>
      </c>
      <c r="P118" s="177" t="s">
        <v>124</v>
      </c>
      <c r="Q118" s="177" t="s">
        <v>124</v>
      </c>
      <c r="R118" s="177" t="s">
        <v>124</v>
      </c>
      <c r="S118" s="91"/>
      <c r="T118" s="91"/>
    </row>
    <row r="119" spans="2:20" x14ac:dyDescent="0.25">
      <c r="B119" s="169">
        <v>114</v>
      </c>
      <c r="C119" s="91" t="s">
        <v>486</v>
      </c>
      <c r="D119" s="91" t="s">
        <v>31</v>
      </c>
      <c r="E119" s="91" t="s">
        <v>460</v>
      </c>
      <c r="F119" s="91" t="s">
        <v>461</v>
      </c>
      <c r="G119" s="169">
        <v>81240</v>
      </c>
      <c r="H119" s="91" t="s">
        <v>34</v>
      </c>
      <c r="I119" s="575"/>
      <c r="J119" s="564">
        <v>1642000</v>
      </c>
      <c r="K119" s="578">
        <f t="shared" si="3"/>
        <v>1642000</v>
      </c>
      <c r="L119" s="176" t="s">
        <v>124</v>
      </c>
      <c r="M119" s="564">
        <f t="shared" si="2"/>
        <v>82100</v>
      </c>
      <c r="N119" s="177" t="s">
        <v>124</v>
      </c>
      <c r="O119" s="177" t="s">
        <v>124</v>
      </c>
      <c r="P119" s="177" t="s">
        <v>124</v>
      </c>
      <c r="Q119" s="177" t="s">
        <v>124</v>
      </c>
      <c r="R119" s="177" t="s">
        <v>124</v>
      </c>
      <c r="S119" s="91"/>
      <c r="T119" s="91"/>
    </row>
    <row r="120" spans="2:20" x14ac:dyDescent="0.25">
      <c r="B120" s="169">
        <v>115</v>
      </c>
      <c r="C120" s="91" t="s">
        <v>486</v>
      </c>
      <c r="D120" s="91" t="s">
        <v>31</v>
      </c>
      <c r="E120" s="91" t="s">
        <v>462</v>
      </c>
      <c r="F120" s="91" t="s">
        <v>463</v>
      </c>
      <c r="G120" s="169">
        <v>80199</v>
      </c>
      <c r="H120" s="91" t="s">
        <v>5</v>
      </c>
      <c r="I120" s="575"/>
      <c r="J120" s="564">
        <v>109080</v>
      </c>
      <c r="K120" s="578">
        <f t="shared" si="3"/>
        <v>109080</v>
      </c>
      <c r="L120" s="176" t="s">
        <v>124</v>
      </c>
      <c r="M120" s="564">
        <f t="shared" si="2"/>
        <v>5454</v>
      </c>
      <c r="N120" s="177" t="s">
        <v>124</v>
      </c>
      <c r="O120" s="177" t="s">
        <v>124</v>
      </c>
      <c r="P120" s="177" t="s">
        <v>124</v>
      </c>
      <c r="Q120" s="177" t="s">
        <v>124</v>
      </c>
      <c r="R120" s="177" t="s">
        <v>124</v>
      </c>
      <c r="S120" s="91"/>
      <c r="T120" s="91"/>
    </row>
    <row r="121" spans="2:20" x14ac:dyDescent="0.25">
      <c r="B121" s="169">
        <v>116</v>
      </c>
      <c r="C121" s="91" t="s">
        <v>486</v>
      </c>
      <c r="D121" s="91" t="s">
        <v>31</v>
      </c>
      <c r="E121" s="91" t="s">
        <v>464</v>
      </c>
      <c r="F121" s="91" t="s">
        <v>463</v>
      </c>
      <c r="G121" s="169">
        <v>80199</v>
      </c>
      <c r="H121" s="91" t="s">
        <v>5</v>
      </c>
      <c r="I121" s="575"/>
      <c r="J121" s="564">
        <v>148000</v>
      </c>
      <c r="K121" s="578">
        <f t="shared" si="3"/>
        <v>148000</v>
      </c>
      <c r="L121" s="176" t="s">
        <v>124</v>
      </c>
      <c r="M121" s="564">
        <f t="shared" si="2"/>
        <v>7400</v>
      </c>
      <c r="N121" s="177" t="s">
        <v>124</v>
      </c>
      <c r="O121" s="177" t="s">
        <v>124</v>
      </c>
      <c r="P121" s="177" t="s">
        <v>124</v>
      </c>
      <c r="Q121" s="177" t="s">
        <v>124</v>
      </c>
      <c r="R121" s="177" t="s">
        <v>124</v>
      </c>
      <c r="S121" s="91"/>
      <c r="T121" s="91"/>
    </row>
    <row r="122" spans="2:20" x14ac:dyDescent="0.25">
      <c r="B122" s="169">
        <v>117</v>
      </c>
      <c r="C122" s="91" t="s">
        <v>486</v>
      </c>
      <c r="D122" s="91" t="s">
        <v>31</v>
      </c>
      <c r="E122" s="91" t="s">
        <v>517</v>
      </c>
      <c r="F122" s="91" t="s">
        <v>463</v>
      </c>
      <c r="G122" s="169">
        <v>80199</v>
      </c>
      <c r="H122" s="91" t="s">
        <v>5</v>
      </c>
      <c r="I122" s="575"/>
      <c r="J122" s="564">
        <v>168000</v>
      </c>
      <c r="K122" s="578">
        <f t="shared" si="3"/>
        <v>168000</v>
      </c>
      <c r="L122" s="176" t="s">
        <v>124</v>
      </c>
      <c r="M122" s="564">
        <f t="shared" si="2"/>
        <v>8400</v>
      </c>
      <c r="N122" s="177" t="s">
        <v>124</v>
      </c>
      <c r="O122" s="177" t="s">
        <v>124</v>
      </c>
      <c r="P122" s="177" t="s">
        <v>124</v>
      </c>
      <c r="Q122" s="177" t="s">
        <v>124</v>
      </c>
      <c r="R122" s="177" t="s">
        <v>124</v>
      </c>
      <c r="S122" s="91"/>
      <c r="T122" s="91"/>
    </row>
    <row r="123" spans="2:20" x14ac:dyDescent="0.25">
      <c r="B123" s="169">
        <v>118</v>
      </c>
      <c r="C123" s="91" t="s">
        <v>486</v>
      </c>
      <c r="D123" s="91" t="s">
        <v>31</v>
      </c>
      <c r="E123" s="91" t="s">
        <v>466</v>
      </c>
      <c r="F123" s="91" t="s">
        <v>463</v>
      </c>
      <c r="G123" s="169">
        <v>80199</v>
      </c>
      <c r="H123" s="91" t="s">
        <v>5</v>
      </c>
      <c r="I123" s="575"/>
      <c r="J123" s="564">
        <v>159600</v>
      </c>
      <c r="K123" s="578">
        <f t="shared" si="3"/>
        <v>159600</v>
      </c>
      <c r="L123" s="176" t="s">
        <v>124</v>
      </c>
      <c r="M123" s="564">
        <f t="shared" si="2"/>
        <v>7980</v>
      </c>
      <c r="N123" s="177" t="s">
        <v>124</v>
      </c>
      <c r="O123" s="177" t="s">
        <v>124</v>
      </c>
      <c r="P123" s="177" t="s">
        <v>124</v>
      </c>
      <c r="Q123" s="177" t="s">
        <v>124</v>
      </c>
      <c r="R123" s="177" t="s">
        <v>124</v>
      </c>
      <c r="S123" s="91"/>
      <c r="T123" s="91"/>
    </row>
    <row r="124" spans="2:20" x14ac:dyDescent="0.25">
      <c r="B124" s="169">
        <v>119</v>
      </c>
      <c r="C124" s="91" t="s">
        <v>486</v>
      </c>
      <c r="D124" s="91" t="s">
        <v>31</v>
      </c>
      <c r="E124" s="91" t="s">
        <v>467</v>
      </c>
      <c r="F124" s="91" t="s">
        <v>463</v>
      </c>
      <c r="G124" s="169">
        <v>80199</v>
      </c>
      <c r="H124" s="91" t="s">
        <v>5</v>
      </c>
      <c r="I124" s="575"/>
      <c r="J124" s="564">
        <v>3256640</v>
      </c>
      <c r="K124" s="578">
        <f t="shared" si="3"/>
        <v>3256640</v>
      </c>
      <c r="L124" s="176" t="s">
        <v>124</v>
      </c>
      <c r="M124" s="564">
        <f t="shared" si="2"/>
        <v>162832</v>
      </c>
      <c r="N124" s="177" t="s">
        <v>124</v>
      </c>
      <c r="O124" s="177" t="s">
        <v>124</v>
      </c>
      <c r="P124" s="177" t="s">
        <v>124</v>
      </c>
      <c r="Q124" s="177" t="s">
        <v>124</v>
      </c>
      <c r="R124" s="177" t="s">
        <v>124</v>
      </c>
      <c r="S124" s="91"/>
      <c r="T124" s="91"/>
    </row>
    <row r="125" spans="2:20" x14ac:dyDescent="0.25">
      <c r="B125" s="169">
        <v>120</v>
      </c>
      <c r="C125" s="91" t="s">
        <v>486</v>
      </c>
      <c r="D125" s="91" t="s">
        <v>31</v>
      </c>
      <c r="E125" s="91" t="s">
        <v>468</v>
      </c>
      <c r="F125" s="91" t="s">
        <v>469</v>
      </c>
      <c r="G125" s="169">
        <v>80010</v>
      </c>
      <c r="H125" s="91" t="s">
        <v>5</v>
      </c>
      <c r="I125" s="575"/>
      <c r="J125" s="564">
        <v>79180</v>
      </c>
      <c r="K125" s="578">
        <f t="shared" si="3"/>
        <v>79180</v>
      </c>
      <c r="L125" s="176" t="s">
        <v>124</v>
      </c>
      <c r="M125" s="564">
        <f t="shared" si="2"/>
        <v>3959</v>
      </c>
      <c r="N125" s="177" t="s">
        <v>124</v>
      </c>
      <c r="O125" s="177" t="s">
        <v>124</v>
      </c>
      <c r="P125" s="177" t="s">
        <v>124</v>
      </c>
      <c r="Q125" s="177" t="s">
        <v>124</v>
      </c>
      <c r="R125" s="177" t="s">
        <v>124</v>
      </c>
      <c r="S125" s="91"/>
      <c r="T125" s="91"/>
    </row>
    <row r="126" spans="2:20" ht="16.5" customHeight="1" x14ac:dyDescent="0.25">
      <c r="B126" s="169">
        <f>+B125</f>
        <v>120</v>
      </c>
      <c r="C126" s="91"/>
      <c r="D126" s="91"/>
      <c r="E126" s="91"/>
      <c r="F126" s="91"/>
      <c r="G126" s="406" t="s">
        <v>610</v>
      </c>
      <c r="H126" s="91"/>
      <c r="I126" s="576"/>
      <c r="J126" s="610">
        <f>SUBTOTAL(109,Table2[VALOR CONTENIDOS])</f>
        <v>112621740</v>
      </c>
      <c r="K126" s="611">
        <f>SUBTOTAL(109,Table2[EDIFICIOS +
CONTENIDOS])</f>
        <v>112621740</v>
      </c>
      <c r="L126" s="610">
        <f>SUBTOTAL(109,Table2[CONVENIO EXPRESO PARA FHM])</f>
        <v>20000000</v>
      </c>
      <c r="M126" s="610">
        <f>SUBTOTAL(109,Table2[REMOCIÓN DE
ESCOMBROS])</f>
        <v>5631087</v>
      </c>
      <c r="N126" s="610">
        <f>SUBTOTAL(109,Table2[R.C. ACTIV. 
E INMUEBLES])</f>
        <v>50000000</v>
      </c>
      <c r="O126" s="610">
        <f>SUBTOTAL(109,Table2[R.C. ARRENDATARIO])</f>
        <v>20000000</v>
      </c>
      <c r="P126" s="610">
        <f>SUBTOTAL(109,Table2[ROBO DE 
CONTENIDOS])</f>
        <v>1500000</v>
      </c>
      <c r="Q126" s="610">
        <f>SUBTOTAL(109,Table2[DINERO Y 
VALORES])</f>
        <v>500000</v>
      </c>
      <c r="R126" s="610">
        <f>SUBTOTAL(109,Table2[CRISTALES])</f>
        <v>500000</v>
      </c>
      <c r="S126" s="610">
        <f>SUBTOTAL(109,Table2[EQUIPO 
ELECTRÓNICO])</f>
        <v>0</v>
      </c>
      <c r="T126" s="610">
        <f>SUBTOTAL(109,Table2[ROTURA DE 
MAQUINARIA])</f>
        <v>0</v>
      </c>
    </row>
    <row r="127" spans="2:20" s="91" customFormat="1" ht="11.25" x14ac:dyDescent="0.2">
      <c r="B127" s="117"/>
      <c r="C127" s="118"/>
      <c r="D127" s="118"/>
      <c r="E127" s="119"/>
      <c r="F127" s="120"/>
      <c r="G127" s="121"/>
      <c r="H127" s="120"/>
      <c r="J127" s="90"/>
      <c r="K127" s="90"/>
    </row>
    <row r="128" spans="2:20" s="91" customFormat="1" ht="11.25" x14ac:dyDescent="0.2">
      <c r="B128" s="99"/>
      <c r="C128" s="9"/>
      <c r="D128" s="9"/>
      <c r="E128" s="100"/>
      <c r="F128" s="9"/>
      <c r="G128" s="99"/>
      <c r="H128" s="9"/>
      <c r="J128" s="90"/>
      <c r="K128" s="90"/>
      <c r="Q128" s="169"/>
      <c r="R128" s="169"/>
    </row>
    <row r="129" spans="2:20" s="91" customFormat="1" ht="28.5" customHeight="1" thickBot="1" x14ac:dyDescent="0.25">
      <c r="B129" s="524">
        <f>+B125</f>
        <v>120</v>
      </c>
      <c r="C129" s="126"/>
      <c r="D129" s="126"/>
      <c r="E129" s="127"/>
      <c r="F129" s="397" t="s">
        <v>609</v>
      </c>
      <c r="G129" s="125"/>
      <c r="H129" s="126"/>
      <c r="I129" s="580">
        <f>+Table2[[#Totals],[VALOR 
EDIFICIO]]</f>
        <v>0</v>
      </c>
      <c r="J129" s="274">
        <f>+Table2[[#Totals],[VALOR CONTENIDOS]]</f>
        <v>112621740</v>
      </c>
      <c r="K129" s="579">
        <f>+Table2[[#Totals],[EDIFICIOS +
CONTENIDOS]]</f>
        <v>112621740</v>
      </c>
      <c r="L129" s="274">
        <f>+Table2[[#Totals],[CONVENIO EXPRESO PARA FHM]]</f>
        <v>20000000</v>
      </c>
      <c r="M129" s="274">
        <f>+Table2[[#Totals],[REMOCIÓN DE
ESCOMBROS]]</f>
        <v>5631087</v>
      </c>
      <c r="N129" s="274">
        <f>+Table2[[#Totals],[R.C. ACTIV. 
E INMUEBLES]]</f>
        <v>50000000</v>
      </c>
      <c r="O129" s="274">
        <f>+Table2[[#Totals],[R.C. ARRENDATARIO]]</f>
        <v>20000000</v>
      </c>
      <c r="P129" s="274">
        <f>+Table2[[#Totals],[ROBO DE 
CONTENIDOS]]</f>
        <v>1500000</v>
      </c>
      <c r="Q129" s="274">
        <f>+Table2[[#Totals],[DINERO Y 
VALORES]]</f>
        <v>500000</v>
      </c>
      <c r="R129" s="274">
        <f>+Table2[[#Totals],[CRISTALES]]</f>
        <v>500000</v>
      </c>
      <c r="S129" s="129">
        <f>+Table2[[#Totals],[EQUIPO 
ELECTRÓNICO]]</f>
        <v>0</v>
      </c>
      <c r="T129" s="129">
        <f>+Table2[[#Totals],[ROTURA DE 
MAQUINARIA]]</f>
        <v>0</v>
      </c>
    </row>
    <row r="130" spans="2:20" x14ac:dyDescent="0.25">
      <c r="B130" s="99"/>
      <c r="C130" s="9"/>
      <c r="D130" s="9"/>
      <c r="E130" s="100"/>
      <c r="F130" s="9"/>
      <c r="G130" s="99"/>
      <c r="H130" s="9"/>
      <c r="I130" s="91"/>
      <c r="J130" s="90"/>
      <c r="K130" s="90"/>
      <c r="L130" s="171" t="s">
        <v>487</v>
      </c>
      <c r="M130" s="91"/>
      <c r="N130" s="171" t="s">
        <v>487</v>
      </c>
      <c r="O130" s="171" t="s">
        <v>487</v>
      </c>
      <c r="P130" s="171" t="s">
        <v>487</v>
      </c>
      <c r="Q130" s="171" t="s">
        <v>487</v>
      </c>
      <c r="R130" s="171" t="s">
        <v>487</v>
      </c>
      <c r="S130" s="171" t="s">
        <v>487</v>
      </c>
      <c r="T130" s="171" t="s">
        <v>487</v>
      </c>
    </row>
    <row r="131" spans="2:20" x14ac:dyDescent="0.25">
      <c r="I131" s="150" t="s">
        <v>474</v>
      </c>
      <c r="J131" s="150" t="s">
        <v>475</v>
      </c>
      <c r="K131" s="150" t="s">
        <v>476</v>
      </c>
      <c r="L131" s="151" t="s">
        <v>477</v>
      </c>
      <c r="M131" s="151" t="s">
        <v>478</v>
      </c>
      <c r="N131" s="152" t="s">
        <v>479</v>
      </c>
      <c r="O131" s="152" t="s">
        <v>480</v>
      </c>
      <c r="P131" s="152" t="s">
        <v>481</v>
      </c>
      <c r="Q131" s="152" t="s">
        <v>482</v>
      </c>
      <c r="R131" s="152" t="s">
        <v>483</v>
      </c>
      <c r="S131" s="152" t="s">
        <v>484</v>
      </c>
      <c r="T131" s="152" t="s">
        <v>485</v>
      </c>
    </row>
    <row r="132" spans="2:20" x14ac:dyDescent="0.25">
      <c r="Q132" s="152"/>
      <c r="R132" s="152"/>
    </row>
  </sheetData>
  <mergeCells count="1">
    <mergeCell ref="B1:T1"/>
  </mergeCells>
  <conditionalFormatting sqref="I6:T125">
    <cfRule type="cellIs" dxfId="13" priority="4" operator="equal">
      <formula>0</formula>
    </cfRule>
    <cfRule type="cellIs" dxfId="12" priority="5" operator="equal">
      <formula>4300905</formula>
    </cfRule>
  </conditionalFormatting>
  <printOptions horizontalCentered="1"/>
  <pageMargins left="3.9370078740157501E-2" right="3.9370078740157501E-2" top="0.15748031496063" bottom="0.15748031496063" header="0.31496062992126" footer="0.31496062992126"/>
  <pageSetup paperSize="119" scale="34" fitToHeight="2" orientation="landscape" r:id="rId1"/>
  <customProperties>
    <customPr name="LastActive" r:id="rId2"/>
  </customProperties>
  <drawing r:id="rId3"/>
  <legacyDrawing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rgb="FF7030A0"/>
  </sheetPr>
  <dimension ref="B1:T196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2578125" defaultRowHeight="12.75" x14ac:dyDescent="0.25"/>
  <cols>
    <col min="1" max="1" width="2.85546875" style="44" customWidth="1"/>
    <col min="2" max="2" width="4.7109375" style="41" customWidth="1"/>
    <col min="3" max="3" width="16.7109375" style="42" customWidth="1"/>
    <col min="4" max="4" width="10.42578125" style="42" customWidth="1"/>
    <col min="5" max="5" width="49" style="43" customWidth="1"/>
    <col min="6" max="6" width="51.7109375" style="42" customWidth="1"/>
    <col min="7" max="7" width="9.28515625" style="41" customWidth="1"/>
    <col min="8" max="8" width="18.7109375" style="42" customWidth="1"/>
    <col min="9" max="9" width="15.140625" style="44" customWidth="1"/>
    <col min="10" max="10" width="15.28515625" style="45" customWidth="1"/>
    <col min="11" max="11" width="14.7109375" style="45" customWidth="1"/>
    <col min="12" max="12" width="12.140625" style="44" customWidth="1"/>
    <col min="13" max="13" width="13.140625" style="44" customWidth="1"/>
    <col min="14" max="14" width="12.28515625" style="44" customWidth="1"/>
    <col min="15" max="15" width="14.42578125" style="44" customWidth="1"/>
    <col min="16" max="16" width="13.5703125" style="44" customWidth="1"/>
    <col min="17" max="17" width="11.140625" style="44" customWidth="1"/>
    <col min="18" max="18" width="10.7109375" style="44" customWidth="1"/>
    <col min="19" max="19" width="12.85546875" style="44" customWidth="1"/>
    <col min="20" max="20" width="12.5703125" style="44" customWidth="1"/>
    <col min="21" max="21" width="17.140625" style="44" customWidth="1"/>
    <col min="22" max="16384" width="11.42578125" style="44"/>
  </cols>
  <sheetData>
    <row r="1" spans="2:20" ht="27.75" customHeight="1" x14ac:dyDescent="0.4">
      <c r="B1" s="623" t="s">
        <v>721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</row>
    <row r="2" spans="2:20" ht="27.75" customHeight="1" x14ac:dyDescent="0.25">
      <c r="C2" s="487" t="s">
        <v>591</v>
      </c>
      <c r="E2" s="569" t="s">
        <v>539</v>
      </c>
    </row>
    <row r="3" spans="2:20" s="1" customFormat="1" ht="45" customHeight="1" thickBot="1" x14ac:dyDescent="0.3">
      <c r="B3" s="342" t="s">
        <v>198</v>
      </c>
      <c r="C3" s="342" t="s">
        <v>36</v>
      </c>
      <c r="D3" s="342" t="s">
        <v>53</v>
      </c>
      <c r="E3" s="342" t="s">
        <v>37</v>
      </c>
      <c r="F3" s="342" t="s">
        <v>38</v>
      </c>
      <c r="G3" s="342" t="s">
        <v>95</v>
      </c>
      <c r="H3" s="342" t="s">
        <v>39</v>
      </c>
      <c r="I3" s="571" t="s">
        <v>581</v>
      </c>
      <c r="J3" s="570" t="s">
        <v>114</v>
      </c>
      <c r="K3" s="570" t="s">
        <v>488</v>
      </c>
      <c r="L3" s="488" t="s">
        <v>518</v>
      </c>
      <c r="M3" s="488" t="s">
        <v>527</v>
      </c>
      <c r="N3" s="340" t="s">
        <v>528</v>
      </c>
      <c r="O3" s="339" t="s">
        <v>626</v>
      </c>
      <c r="P3" s="340" t="s">
        <v>529</v>
      </c>
      <c r="Q3" s="340" t="s">
        <v>530</v>
      </c>
      <c r="R3" s="340" t="s">
        <v>483</v>
      </c>
      <c r="S3" s="340" t="s">
        <v>531</v>
      </c>
      <c r="T3" s="489" t="s">
        <v>532</v>
      </c>
    </row>
    <row r="4" spans="2:20" s="307" customFormat="1" ht="24.75" customHeight="1" thickBot="1" x14ac:dyDescent="0.3">
      <c r="B4" s="308"/>
      <c r="C4" s="376"/>
      <c r="D4" s="376"/>
      <c r="E4" s="308"/>
      <c r="F4" s="310" t="s">
        <v>521</v>
      </c>
      <c r="G4" s="309"/>
      <c r="H4" s="310"/>
      <c r="I4" s="311"/>
      <c r="J4" s="312"/>
      <c r="K4" s="313"/>
      <c r="L4" s="330">
        <v>20000000</v>
      </c>
      <c r="M4" s="331">
        <f>(I4+J4)*5%</f>
        <v>0</v>
      </c>
      <c r="N4" s="332">
        <v>50000000</v>
      </c>
      <c r="O4" s="333">
        <v>20000000</v>
      </c>
      <c r="P4" s="330">
        <v>1500000</v>
      </c>
      <c r="Q4" s="330">
        <v>500000</v>
      </c>
      <c r="R4" s="330">
        <v>500000</v>
      </c>
      <c r="S4" s="330"/>
      <c r="T4" s="330"/>
    </row>
    <row r="5" spans="2:20" ht="18" customHeight="1" x14ac:dyDescent="0.25">
      <c r="C5" s="531" t="s">
        <v>594</v>
      </c>
      <c r="E5" s="162" t="s">
        <v>470</v>
      </c>
      <c r="I5" s="94"/>
      <c r="K5" s="148"/>
      <c r="Q5" s="152"/>
      <c r="R5" s="152"/>
    </row>
    <row r="6" spans="2:20" ht="14.25" customHeight="1" x14ac:dyDescent="0.25">
      <c r="B6" s="50">
        <v>1</v>
      </c>
      <c r="C6" s="57" t="s">
        <v>486</v>
      </c>
      <c r="D6" s="51" t="s">
        <v>28</v>
      </c>
      <c r="E6" s="95" t="s">
        <v>143</v>
      </c>
      <c r="F6" s="95" t="s">
        <v>144</v>
      </c>
      <c r="G6" s="50"/>
      <c r="H6" s="95" t="s">
        <v>5</v>
      </c>
      <c r="I6" s="581">
        <v>0</v>
      </c>
      <c r="J6" s="572">
        <v>450596.82400000002</v>
      </c>
      <c r="K6" s="584">
        <f>+I6+J6</f>
        <v>450596.82400000002</v>
      </c>
      <c r="L6" s="79" t="s">
        <v>124</v>
      </c>
      <c r="M6" s="594">
        <f t="shared" ref="M6:M30" si="0">(I6+J6)*5%</f>
        <v>22529.841200000003</v>
      </c>
      <c r="N6" s="597" t="s">
        <v>124</v>
      </c>
      <c r="O6" s="76" t="s">
        <v>124</v>
      </c>
      <c r="P6" s="76" t="s">
        <v>124</v>
      </c>
      <c r="Q6" s="76" t="s">
        <v>124</v>
      </c>
      <c r="R6" s="76" t="s">
        <v>124</v>
      </c>
      <c r="S6" s="83"/>
      <c r="T6" s="83"/>
    </row>
    <row r="7" spans="2:20" ht="14.25" customHeight="1" x14ac:dyDescent="0.25">
      <c r="B7" s="50">
        <v>2</v>
      </c>
      <c r="C7" s="57" t="s">
        <v>486</v>
      </c>
      <c r="D7" s="51" t="s">
        <v>28</v>
      </c>
      <c r="E7" s="95" t="s">
        <v>145</v>
      </c>
      <c r="F7" s="95" t="s">
        <v>146</v>
      </c>
      <c r="G7" s="98"/>
      <c r="H7" s="95" t="s">
        <v>5</v>
      </c>
      <c r="I7" s="582">
        <v>910385.7</v>
      </c>
      <c r="J7" s="572">
        <v>4354673.6739999987</v>
      </c>
      <c r="K7" s="584">
        <f t="shared" ref="K7:K30" si="1">+I7+J7</f>
        <v>5265059.3739999989</v>
      </c>
      <c r="L7" s="79" t="s">
        <v>124</v>
      </c>
      <c r="M7" s="594">
        <f t="shared" si="0"/>
        <v>263252.96869999997</v>
      </c>
      <c r="N7" s="597" t="s">
        <v>124</v>
      </c>
      <c r="O7" s="76" t="s">
        <v>124</v>
      </c>
      <c r="P7" s="76" t="s">
        <v>124</v>
      </c>
      <c r="Q7" s="76" t="s">
        <v>124</v>
      </c>
      <c r="R7" s="76" t="s">
        <v>124</v>
      </c>
      <c r="S7" s="83"/>
      <c r="T7" s="83"/>
    </row>
    <row r="8" spans="2:20" ht="14.25" customHeight="1" x14ac:dyDescent="0.25">
      <c r="B8" s="50">
        <v>3</v>
      </c>
      <c r="C8" s="57" t="s">
        <v>486</v>
      </c>
      <c r="D8" s="51" t="s">
        <v>28</v>
      </c>
      <c r="E8" s="95" t="s">
        <v>147</v>
      </c>
      <c r="F8" s="95" t="s">
        <v>148</v>
      </c>
      <c r="G8" s="98"/>
      <c r="H8" s="95" t="s">
        <v>130</v>
      </c>
      <c r="I8" s="581">
        <v>0</v>
      </c>
      <c r="J8" s="572">
        <v>717075.10599999991</v>
      </c>
      <c r="K8" s="584">
        <f t="shared" si="1"/>
        <v>717075.10599999991</v>
      </c>
      <c r="L8" s="79" t="s">
        <v>124</v>
      </c>
      <c r="M8" s="594">
        <f t="shared" si="0"/>
        <v>35853.755299999997</v>
      </c>
      <c r="N8" s="597" t="s">
        <v>124</v>
      </c>
      <c r="O8" s="76" t="s">
        <v>124</v>
      </c>
      <c r="P8" s="76" t="s">
        <v>124</v>
      </c>
      <c r="Q8" s="76" t="s">
        <v>124</v>
      </c>
      <c r="R8" s="76" t="s">
        <v>124</v>
      </c>
      <c r="S8" s="83"/>
      <c r="T8" s="83"/>
    </row>
    <row r="9" spans="2:20" ht="14.25" customHeight="1" x14ac:dyDescent="0.25">
      <c r="B9" s="50">
        <v>4</v>
      </c>
      <c r="C9" s="57" t="s">
        <v>486</v>
      </c>
      <c r="D9" s="51" t="s">
        <v>28</v>
      </c>
      <c r="E9" s="95" t="s">
        <v>149</v>
      </c>
      <c r="F9" s="95" t="s">
        <v>150</v>
      </c>
      <c r="G9" s="98"/>
      <c r="H9" s="95" t="s">
        <v>5</v>
      </c>
      <c r="I9" s="581">
        <v>0</v>
      </c>
      <c r="J9" s="572">
        <v>550596.82400000002</v>
      </c>
      <c r="K9" s="584">
        <f t="shared" si="1"/>
        <v>550596.82400000002</v>
      </c>
      <c r="L9" s="79" t="s">
        <v>124</v>
      </c>
      <c r="M9" s="594">
        <f t="shared" si="0"/>
        <v>27529.841200000003</v>
      </c>
      <c r="N9" s="597" t="s">
        <v>124</v>
      </c>
      <c r="O9" s="76" t="s">
        <v>124</v>
      </c>
      <c r="P9" s="76" t="s">
        <v>124</v>
      </c>
      <c r="Q9" s="76" t="s">
        <v>124</v>
      </c>
      <c r="R9" s="76" t="s">
        <v>124</v>
      </c>
      <c r="S9" s="83"/>
      <c r="T9" s="83"/>
    </row>
    <row r="10" spans="2:20" ht="14.25" customHeight="1" x14ac:dyDescent="0.25">
      <c r="B10" s="50">
        <v>5</v>
      </c>
      <c r="C10" s="57" t="s">
        <v>486</v>
      </c>
      <c r="D10" s="51" t="s">
        <v>28</v>
      </c>
      <c r="E10" s="95" t="s">
        <v>151</v>
      </c>
      <c r="F10" s="95" t="s">
        <v>152</v>
      </c>
      <c r="G10" s="98"/>
      <c r="H10" s="95" t="s">
        <v>5</v>
      </c>
      <c r="I10" s="581">
        <v>0</v>
      </c>
      <c r="J10" s="572">
        <v>1287925.7</v>
      </c>
      <c r="K10" s="584">
        <f t="shared" si="1"/>
        <v>1287925.7</v>
      </c>
      <c r="L10" s="79" t="s">
        <v>124</v>
      </c>
      <c r="M10" s="594">
        <f t="shared" si="0"/>
        <v>64396.285000000003</v>
      </c>
      <c r="N10" s="597" t="s">
        <v>124</v>
      </c>
      <c r="O10" s="76" t="s">
        <v>124</v>
      </c>
      <c r="P10" s="76" t="s">
        <v>124</v>
      </c>
      <c r="Q10" s="76" t="s">
        <v>124</v>
      </c>
      <c r="R10" s="76" t="s">
        <v>124</v>
      </c>
      <c r="S10" s="83"/>
      <c r="T10" s="83"/>
    </row>
    <row r="11" spans="2:20" ht="14.25" customHeight="1" x14ac:dyDescent="0.25">
      <c r="B11" s="50">
        <v>6</v>
      </c>
      <c r="C11" s="57" t="s">
        <v>486</v>
      </c>
      <c r="D11" s="51" t="s">
        <v>28</v>
      </c>
      <c r="E11" s="95" t="s">
        <v>153</v>
      </c>
      <c r="F11" s="95" t="s">
        <v>154</v>
      </c>
      <c r="G11" s="98"/>
      <c r="H11" s="95" t="s">
        <v>5</v>
      </c>
      <c r="I11" s="581">
        <v>0</v>
      </c>
      <c r="J11" s="572">
        <v>3512171.9690000024</v>
      </c>
      <c r="K11" s="584">
        <f t="shared" si="1"/>
        <v>3512171.9690000024</v>
      </c>
      <c r="L11" s="79" t="s">
        <v>124</v>
      </c>
      <c r="M11" s="594">
        <f t="shared" si="0"/>
        <v>175608.59845000014</v>
      </c>
      <c r="N11" s="597" t="s">
        <v>124</v>
      </c>
      <c r="O11" s="76" t="s">
        <v>124</v>
      </c>
      <c r="P11" s="76" t="s">
        <v>124</v>
      </c>
      <c r="Q11" s="76" t="s">
        <v>124</v>
      </c>
      <c r="R11" s="76" t="s">
        <v>124</v>
      </c>
      <c r="S11" s="83"/>
      <c r="T11" s="83"/>
    </row>
    <row r="12" spans="2:20" ht="14.25" hidden="1" customHeight="1" x14ac:dyDescent="0.25">
      <c r="B12" s="50">
        <v>7</v>
      </c>
      <c r="C12" s="57" t="s">
        <v>486</v>
      </c>
      <c r="D12" s="51" t="s">
        <v>28</v>
      </c>
      <c r="E12" s="95" t="s">
        <v>642</v>
      </c>
      <c r="F12" s="95" t="s">
        <v>652</v>
      </c>
      <c r="G12" s="98"/>
      <c r="H12" s="95" t="s">
        <v>5</v>
      </c>
      <c r="I12" s="581">
        <v>0</v>
      </c>
      <c r="J12" s="572">
        <v>15858489.219999969</v>
      </c>
      <c r="K12" s="584">
        <f t="shared" si="1"/>
        <v>15858489.219999969</v>
      </c>
      <c r="L12" s="79" t="s">
        <v>124</v>
      </c>
      <c r="M12" s="594">
        <f t="shared" si="0"/>
        <v>792924.4609999985</v>
      </c>
      <c r="N12" s="597" t="s">
        <v>124</v>
      </c>
      <c r="O12" s="76" t="s">
        <v>124</v>
      </c>
      <c r="P12" s="76" t="s">
        <v>124</v>
      </c>
      <c r="Q12" s="76" t="s">
        <v>124</v>
      </c>
      <c r="R12" s="76" t="s">
        <v>124</v>
      </c>
      <c r="S12" s="83"/>
      <c r="T12" s="83"/>
    </row>
    <row r="13" spans="2:20" ht="14.25" customHeight="1" x14ac:dyDescent="0.25">
      <c r="B13" s="50">
        <v>7</v>
      </c>
      <c r="C13" s="57" t="s">
        <v>486</v>
      </c>
      <c r="D13" s="51" t="s">
        <v>28</v>
      </c>
      <c r="E13" s="95" t="s">
        <v>155</v>
      </c>
      <c r="F13" s="95" t="s">
        <v>156</v>
      </c>
      <c r="G13" s="98"/>
      <c r="H13" s="95" t="s">
        <v>5</v>
      </c>
      <c r="I13" s="581">
        <v>0</v>
      </c>
      <c r="J13" s="572">
        <v>6062571.3419999965</v>
      </c>
      <c r="K13" s="584">
        <f t="shared" si="1"/>
        <v>6062571.3419999965</v>
      </c>
      <c r="L13" s="79" t="s">
        <v>124</v>
      </c>
      <c r="M13" s="594">
        <f t="shared" si="0"/>
        <v>303128.56709999981</v>
      </c>
      <c r="N13" s="597" t="s">
        <v>124</v>
      </c>
      <c r="O13" s="76" t="s">
        <v>124</v>
      </c>
      <c r="P13" s="76" t="s">
        <v>124</v>
      </c>
      <c r="Q13" s="76" t="s">
        <v>124</v>
      </c>
      <c r="R13" s="76" t="s">
        <v>124</v>
      </c>
      <c r="S13" s="83"/>
      <c r="T13" s="83"/>
    </row>
    <row r="14" spans="2:20" ht="14.25" customHeight="1" x14ac:dyDescent="0.25">
      <c r="B14" s="50">
        <v>8</v>
      </c>
      <c r="C14" s="57" t="s">
        <v>486</v>
      </c>
      <c r="D14" s="51" t="s">
        <v>28</v>
      </c>
      <c r="E14" s="95" t="s">
        <v>157</v>
      </c>
      <c r="F14" s="95" t="s">
        <v>158</v>
      </c>
      <c r="G14" s="98"/>
      <c r="H14" s="95" t="s">
        <v>5</v>
      </c>
      <c r="I14" s="581">
        <v>0</v>
      </c>
      <c r="J14" s="572">
        <v>5204970.22</v>
      </c>
      <c r="K14" s="584">
        <f t="shared" si="1"/>
        <v>5204970.22</v>
      </c>
      <c r="L14" s="79" t="s">
        <v>124</v>
      </c>
      <c r="M14" s="594">
        <f t="shared" si="0"/>
        <v>260248.511</v>
      </c>
      <c r="N14" s="597" t="s">
        <v>124</v>
      </c>
      <c r="O14" s="76" t="s">
        <v>124</v>
      </c>
      <c r="P14" s="76" t="s">
        <v>124</v>
      </c>
      <c r="Q14" s="76" t="s">
        <v>124</v>
      </c>
      <c r="R14" s="76" t="s">
        <v>124</v>
      </c>
      <c r="S14" s="83"/>
      <c r="T14" s="83"/>
    </row>
    <row r="15" spans="2:20" ht="14.25" customHeight="1" x14ac:dyDescent="0.25">
      <c r="B15" s="50">
        <v>9</v>
      </c>
      <c r="C15" s="57" t="s">
        <v>486</v>
      </c>
      <c r="D15" s="51" t="s">
        <v>28</v>
      </c>
      <c r="E15" s="95" t="s">
        <v>159</v>
      </c>
      <c r="F15" s="95" t="s">
        <v>160</v>
      </c>
      <c r="G15" s="98"/>
      <c r="H15" s="95" t="s">
        <v>5</v>
      </c>
      <c r="I15" s="581">
        <v>0</v>
      </c>
      <c r="J15" s="572">
        <v>255608.552</v>
      </c>
      <c r="K15" s="584">
        <f t="shared" si="1"/>
        <v>255608.552</v>
      </c>
      <c r="L15" s="79" t="s">
        <v>124</v>
      </c>
      <c r="M15" s="594">
        <f t="shared" si="0"/>
        <v>12780.427600000001</v>
      </c>
      <c r="N15" s="597" t="s">
        <v>124</v>
      </c>
      <c r="O15" s="76" t="s">
        <v>124</v>
      </c>
      <c r="P15" s="76" t="s">
        <v>124</v>
      </c>
      <c r="Q15" s="76" t="s">
        <v>124</v>
      </c>
      <c r="R15" s="76" t="s">
        <v>124</v>
      </c>
      <c r="S15" s="83"/>
      <c r="T15" s="83"/>
    </row>
    <row r="16" spans="2:20" ht="14.25" customHeight="1" x14ac:dyDescent="0.25">
      <c r="B16" s="50">
        <v>10</v>
      </c>
      <c r="C16" s="57" t="s">
        <v>486</v>
      </c>
      <c r="D16" s="51" t="s">
        <v>28</v>
      </c>
      <c r="E16" s="95" t="s">
        <v>161</v>
      </c>
      <c r="F16" s="95" t="s">
        <v>162</v>
      </c>
      <c r="G16" s="98"/>
      <c r="H16" s="95" t="s">
        <v>2</v>
      </c>
      <c r="I16" s="581">
        <v>0</v>
      </c>
      <c r="J16" s="572">
        <v>228913.09000000003</v>
      </c>
      <c r="K16" s="584">
        <f t="shared" si="1"/>
        <v>228913.09000000003</v>
      </c>
      <c r="L16" s="79" t="s">
        <v>124</v>
      </c>
      <c r="M16" s="594">
        <f t="shared" si="0"/>
        <v>11445.654500000002</v>
      </c>
      <c r="N16" s="597" t="s">
        <v>124</v>
      </c>
      <c r="O16" s="76" t="s">
        <v>124</v>
      </c>
      <c r="P16" s="76" t="s">
        <v>124</v>
      </c>
      <c r="Q16" s="76" t="s">
        <v>124</v>
      </c>
      <c r="R16" s="76" t="s">
        <v>124</v>
      </c>
      <c r="S16" s="83"/>
      <c r="T16" s="83"/>
    </row>
    <row r="17" spans="2:20" ht="14.25" customHeight="1" x14ac:dyDescent="0.25">
      <c r="B17" s="50">
        <v>11</v>
      </c>
      <c r="C17" s="57" t="s">
        <v>486</v>
      </c>
      <c r="D17" s="51" t="s">
        <v>28</v>
      </c>
      <c r="E17" s="95" t="s">
        <v>644</v>
      </c>
      <c r="F17" s="95" t="s">
        <v>653</v>
      </c>
      <c r="G17" s="98"/>
      <c r="H17" s="95" t="s">
        <v>660</v>
      </c>
      <c r="I17" s="581">
        <v>0</v>
      </c>
      <c r="J17" s="572">
        <v>395452.75999999989</v>
      </c>
      <c r="K17" s="584">
        <f t="shared" si="1"/>
        <v>395452.75999999989</v>
      </c>
      <c r="L17" s="79" t="s">
        <v>124</v>
      </c>
      <c r="M17" s="594">
        <f t="shared" si="0"/>
        <v>19772.637999999995</v>
      </c>
      <c r="N17" s="597" t="s">
        <v>124</v>
      </c>
      <c r="O17" s="76" t="s">
        <v>124</v>
      </c>
      <c r="P17" s="76" t="s">
        <v>124</v>
      </c>
      <c r="Q17" s="76" t="s">
        <v>124</v>
      </c>
      <c r="R17" s="76" t="s">
        <v>124</v>
      </c>
      <c r="S17" s="83"/>
      <c r="T17" s="83"/>
    </row>
    <row r="18" spans="2:20" ht="14.25" customHeight="1" x14ac:dyDescent="0.25">
      <c r="B18" s="50">
        <v>12</v>
      </c>
      <c r="C18" s="57" t="s">
        <v>486</v>
      </c>
      <c r="D18" s="51" t="s">
        <v>28</v>
      </c>
      <c r="E18" s="95" t="s">
        <v>163</v>
      </c>
      <c r="F18" s="95" t="s">
        <v>164</v>
      </c>
      <c r="G18" s="98"/>
      <c r="H18" s="95" t="s">
        <v>2</v>
      </c>
      <c r="I18" s="582">
        <v>522866.1</v>
      </c>
      <c r="J18" s="572">
        <v>22919038.197799999</v>
      </c>
      <c r="K18" s="584">
        <f t="shared" si="1"/>
        <v>23441904.297800001</v>
      </c>
      <c r="L18" s="79" t="s">
        <v>124</v>
      </c>
      <c r="M18" s="594">
        <f t="shared" si="0"/>
        <v>1172095.2148900002</v>
      </c>
      <c r="N18" s="597" t="s">
        <v>124</v>
      </c>
      <c r="O18" s="76" t="s">
        <v>124</v>
      </c>
      <c r="P18" s="76" t="s">
        <v>124</v>
      </c>
      <c r="Q18" s="76" t="s">
        <v>124</v>
      </c>
      <c r="R18" s="76" t="s">
        <v>124</v>
      </c>
      <c r="S18" s="83"/>
      <c r="T18" s="83"/>
    </row>
    <row r="19" spans="2:20" ht="14.25" customHeight="1" x14ac:dyDescent="0.25">
      <c r="B19" s="50">
        <v>13</v>
      </c>
      <c r="C19" s="57" t="s">
        <v>486</v>
      </c>
      <c r="D19" s="51" t="s">
        <v>28</v>
      </c>
      <c r="E19" s="95" t="s">
        <v>165</v>
      </c>
      <c r="F19" s="95" t="s">
        <v>166</v>
      </c>
      <c r="G19" s="98"/>
      <c r="H19" s="95" t="s">
        <v>175</v>
      </c>
      <c r="I19" s="582">
        <v>0</v>
      </c>
      <c r="J19" s="572">
        <v>471195.2599999996</v>
      </c>
      <c r="K19" s="584">
        <f t="shared" si="1"/>
        <v>471195.2599999996</v>
      </c>
      <c r="L19" s="79" t="s">
        <v>124</v>
      </c>
      <c r="M19" s="594">
        <f t="shared" si="0"/>
        <v>23559.762999999981</v>
      </c>
      <c r="N19" s="597" t="s">
        <v>124</v>
      </c>
      <c r="O19" s="76" t="s">
        <v>124</v>
      </c>
      <c r="P19" s="76" t="s">
        <v>124</v>
      </c>
      <c r="Q19" s="76" t="s">
        <v>124</v>
      </c>
      <c r="R19" s="76" t="s">
        <v>124</v>
      </c>
      <c r="S19" s="83"/>
      <c r="T19" s="83"/>
    </row>
    <row r="20" spans="2:20" ht="14.25" customHeight="1" x14ac:dyDescent="0.25">
      <c r="B20" s="50">
        <v>14</v>
      </c>
      <c r="C20" s="57" t="s">
        <v>486</v>
      </c>
      <c r="D20" s="51" t="s">
        <v>28</v>
      </c>
      <c r="E20" s="95" t="s">
        <v>645</v>
      </c>
      <c r="F20" s="95" t="s">
        <v>654</v>
      </c>
      <c r="G20" s="98"/>
      <c r="H20" s="95" t="s">
        <v>175</v>
      </c>
      <c r="I20" s="582">
        <v>0</v>
      </c>
      <c r="J20" s="572">
        <v>237215.56440000006</v>
      </c>
      <c r="K20" s="584">
        <f t="shared" si="1"/>
        <v>237215.56440000006</v>
      </c>
      <c r="L20" s="79" t="s">
        <v>124</v>
      </c>
      <c r="M20" s="594">
        <f t="shared" si="0"/>
        <v>11860.778220000004</v>
      </c>
      <c r="N20" s="597" t="s">
        <v>124</v>
      </c>
      <c r="O20" s="76" t="s">
        <v>124</v>
      </c>
      <c r="P20" s="76" t="s">
        <v>124</v>
      </c>
      <c r="Q20" s="76" t="s">
        <v>124</v>
      </c>
      <c r="R20" s="76" t="s">
        <v>124</v>
      </c>
      <c r="S20" s="83"/>
      <c r="T20" s="83"/>
    </row>
    <row r="21" spans="2:20" ht="14.25" customHeight="1" x14ac:dyDescent="0.25">
      <c r="B21" s="50">
        <v>15</v>
      </c>
      <c r="C21" s="57" t="s">
        <v>486</v>
      </c>
      <c r="D21" s="51" t="s">
        <v>28</v>
      </c>
      <c r="E21" s="95" t="s">
        <v>646</v>
      </c>
      <c r="F21" s="95" t="s">
        <v>655</v>
      </c>
      <c r="G21" s="98"/>
      <c r="H21" s="95" t="s">
        <v>175</v>
      </c>
      <c r="I21" s="582">
        <v>40</v>
      </c>
      <c r="J21" s="572">
        <v>222665.20600000001</v>
      </c>
      <c r="K21" s="584">
        <f t="shared" si="1"/>
        <v>222705.20600000001</v>
      </c>
      <c r="L21" s="79" t="s">
        <v>124</v>
      </c>
      <c r="M21" s="594">
        <f t="shared" si="0"/>
        <v>11135.260300000002</v>
      </c>
      <c r="N21" s="597" t="s">
        <v>124</v>
      </c>
      <c r="O21" s="76" t="s">
        <v>124</v>
      </c>
      <c r="P21" s="76" t="s">
        <v>124</v>
      </c>
      <c r="Q21" s="76" t="s">
        <v>124</v>
      </c>
      <c r="R21" s="76" t="s">
        <v>124</v>
      </c>
      <c r="S21" s="83"/>
      <c r="T21" s="83"/>
    </row>
    <row r="22" spans="2:20" ht="14.25" customHeight="1" x14ac:dyDescent="0.25">
      <c r="B22" s="50">
        <v>16</v>
      </c>
      <c r="C22" s="57" t="s">
        <v>486</v>
      </c>
      <c r="D22" s="51" t="s">
        <v>28</v>
      </c>
      <c r="E22" s="95" t="s">
        <v>647</v>
      </c>
      <c r="F22" s="95" t="s">
        <v>656</v>
      </c>
      <c r="G22" s="98"/>
      <c r="H22" s="95" t="s">
        <v>4</v>
      </c>
      <c r="I22" s="581">
        <v>0</v>
      </c>
      <c r="J22" s="572">
        <v>292203.27</v>
      </c>
      <c r="K22" s="584">
        <f t="shared" si="1"/>
        <v>292203.27</v>
      </c>
      <c r="L22" s="79" t="s">
        <v>124</v>
      </c>
      <c r="M22" s="594">
        <f t="shared" si="0"/>
        <v>14610.163500000002</v>
      </c>
      <c r="N22" s="597" t="s">
        <v>124</v>
      </c>
      <c r="O22" s="76" t="s">
        <v>124</v>
      </c>
      <c r="P22" s="76" t="s">
        <v>124</v>
      </c>
      <c r="Q22" s="76" t="s">
        <v>124</v>
      </c>
      <c r="R22" s="76" t="s">
        <v>124</v>
      </c>
      <c r="S22" s="83"/>
      <c r="T22" s="83"/>
    </row>
    <row r="23" spans="2:20" ht="14.25" customHeight="1" x14ac:dyDescent="0.25">
      <c r="B23" s="50">
        <v>17</v>
      </c>
      <c r="C23" s="57" t="s">
        <v>486</v>
      </c>
      <c r="D23" s="51" t="s">
        <v>28</v>
      </c>
      <c r="E23" s="95" t="s">
        <v>648</v>
      </c>
      <c r="F23" s="95" t="s">
        <v>656</v>
      </c>
      <c r="G23" s="98"/>
      <c r="H23" s="95" t="s">
        <v>4</v>
      </c>
      <c r="I23" s="581">
        <v>0</v>
      </c>
      <c r="J23" s="572">
        <v>510856.04599999997</v>
      </c>
      <c r="K23" s="584">
        <f t="shared" si="1"/>
        <v>510856.04599999997</v>
      </c>
      <c r="L23" s="79" t="s">
        <v>124</v>
      </c>
      <c r="M23" s="594">
        <f t="shared" si="0"/>
        <v>25542.802299999999</v>
      </c>
      <c r="N23" s="597" t="s">
        <v>124</v>
      </c>
      <c r="O23" s="76" t="s">
        <v>124</v>
      </c>
      <c r="P23" s="76" t="s">
        <v>124</v>
      </c>
      <c r="Q23" s="76" t="s">
        <v>124</v>
      </c>
      <c r="R23" s="76" t="s">
        <v>124</v>
      </c>
      <c r="S23" s="83"/>
      <c r="T23" s="83"/>
    </row>
    <row r="24" spans="2:20" ht="14.25" customHeight="1" x14ac:dyDescent="0.25">
      <c r="B24" s="50">
        <v>18</v>
      </c>
      <c r="C24" s="57" t="s">
        <v>486</v>
      </c>
      <c r="D24" s="51" t="s">
        <v>28</v>
      </c>
      <c r="E24" s="95" t="s">
        <v>167</v>
      </c>
      <c r="F24" s="95" t="s">
        <v>168</v>
      </c>
      <c r="G24" s="98"/>
      <c r="H24" s="95" t="s">
        <v>101</v>
      </c>
      <c r="I24" s="581">
        <v>0</v>
      </c>
      <c r="J24" s="572">
        <v>894064.37199999997</v>
      </c>
      <c r="K24" s="584">
        <f t="shared" si="1"/>
        <v>894064.37199999997</v>
      </c>
      <c r="L24" s="79" t="s">
        <v>124</v>
      </c>
      <c r="M24" s="594">
        <f t="shared" si="0"/>
        <v>44703.2186</v>
      </c>
      <c r="N24" s="597" t="s">
        <v>124</v>
      </c>
      <c r="O24" s="76" t="s">
        <v>124</v>
      </c>
      <c r="P24" s="76" t="s">
        <v>124</v>
      </c>
      <c r="Q24" s="76" t="s">
        <v>124</v>
      </c>
      <c r="R24" s="76" t="s">
        <v>124</v>
      </c>
      <c r="S24" s="83"/>
      <c r="T24" s="83"/>
    </row>
    <row r="25" spans="2:20" ht="14.25" customHeight="1" x14ac:dyDescent="0.25">
      <c r="B25" s="50">
        <v>19</v>
      </c>
      <c r="C25" s="57" t="s">
        <v>486</v>
      </c>
      <c r="D25" s="51" t="s">
        <v>28</v>
      </c>
      <c r="E25" s="95" t="s">
        <v>169</v>
      </c>
      <c r="F25" s="95" t="s">
        <v>170</v>
      </c>
      <c r="G25" s="98"/>
      <c r="H25" s="95" t="s">
        <v>101</v>
      </c>
      <c r="I25" s="581">
        <v>0</v>
      </c>
      <c r="J25" s="572">
        <v>650120.69000000018</v>
      </c>
      <c r="K25" s="584">
        <f t="shared" si="1"/>
        <v>650120.69000000018</v>
      </c>
      <c r="L25" s="79" t="s">
        <v>124</v>
      </c>
      <c r="M25" s="594">
        <f t="shared" si="0"/>
        <v>32506.034500000009</v>
      </c>
      <c r="N25" s="597" t="s">
        <v>124</v>
      </c>
      <c r="O25" s="76" t="s">
        <v>124</v>
      </c>
      <c r="P25" s="76" t="s">
        <v>124</v>
      </c>
      <c r="Q25" s="76" t="s">
        <v>124</v>
      </c>
      <c r="R25" s="76" t="s">
        <v>124</v>
      </c>
      <c r="S25" s="83"/>
      <c r="T25" s="83"/>
    </row>
    <row r="26" spans="2:20" ht="14.25" customHeight="1" x14ac:dyDescent="0.25">
      <c r="B26" s="50">
        <v>20</v>
      </c>
      <c r="C26" s="57" t="s">
        <v>486</v>
      </c>
      <c r="D26" s="51" t="s">
        <v>28</v>
      </c>
      <c r="E26" s="95" t="s">
        <v>649</v>
      </c>
      <c r="F26" s="95" t="s">
        <v>657</v>
      </c>
      <c r="G26" s="98"/>
      <c r="H26" s="95" t="s">
        <v>101</v>
      </c>
      <c r="I26" s="581">
        <v>0</v>
      </c>
      <c r="J26" s="572">
        <v>206076.43000000002</v>
      </c>
      <c r="K26" s="584">
        <f t="shared" si="1"/>
        <v>206076.43000000002</v>
      </c>
      <c r="L26" s="79" t="s">
        <v>124</v>
      </c>
      <c r="M26" s="594">
        <f t="shared" si="0"/>
        <v>10303.821500000002</v>
      </c>
      <c r="N26" s="597" t="s">
        <v>124</v>
      </c>
      <c r="O26" s="76" t="s">
        <v>124</v>
      </c>
      <c r="P26" s="76" t="s">
        <v>124</v>
      </c>
      <c r="Q26" s="76" t="s">
        <v>124</v>
      </c>
      <c r="R26" s="76" t="s">
        <v>124</v>
      </c>
      <c r="S26" s="83"/>
      <c r="T26" s="83"/>
    </row>
    <row r="27" spans="2:20" ht="14.25" customHeight="1" x14ac:dyDescent="0.25">
      <c r="B27" s="50">
        <v>21</v>
      </c>
      <c r="C27" s="57" t="s">
        <v>486</v>
      </c>
      <c r="D27" s="51" t="s">
        <v>28</v>
      </c>
      <c r="E27" s="95" t="s">
        <v>171</v>
      </c>
      <c r="F27" s="95" t="s">
        <v>172</v>
      </c>
      <c r="G27" s="98"/>
      <c r="H27" s="95" t="s">
        <v>101</v>
      </c>
      <c r="I27" s="581">
        <v>0</v>
      </c>
      <c r="J27" s="572">
        <v>922039.35000000033</v>
      </c>
      <c r="K27" s="584">
        <f t="shared" si="1"/>
        <v>922039.35000000033</v>
      </c>
      <c r="L27" s="79" t="s">
        <v>124</v>
      </c>
      <c r="M27" s="594">
        <f t="shared" si="0"/>
        <v>46101.967500000021</v>
      </c>
      <c r="N27" s="597" t="s">
        <v>124</v>
      </c>
      <c r="O27" s="76" t="s">
        <v>124</v>
      </c>
      <c r="P27" s="76" t="s">
        <v>124</v>
      </c>
      <c r="Q27" s="76" t="s">
        <v>124</v>
      </c>
      <c r="R27" s="76" t="s">
        <v>124</v>
      </c>
      <c r="S27" s="83"/>
      <c r="T27" s="83"/>
    </row>
    <row r="28" spans="2:20" ht="14.25" customHeight="1" x14ac:dyDescent="0.25">
      <c r="B28" s="50">
        <v>22</v>
      </c>
      <c r="C28" s="57" t="s">
        <v>486</v>
      </c>
      <c r="D28" s="51" t="s">
        <v>28</v>
      </c>
      <c r="E28" s="95" t="s">
        <v>650</v>
      </c>
      <c r="F28" s="95" t="s">
        <v>658</v>
      </c>
      <c r="G28" s="98"/>
      <c r="H28" s="95" t="s">
        <v>101</v>
      </c>
      <c r="I28" s="581">
        <v>0</v>
      </c>
      <c r="J28" s="572">
        <v>538579.67999999982</v>
      </c>
      <c r="K28" s="584">
        <f t="shared" si="1"/>
        <v>538579.67999999982</v>
      </c>
      <c r="L28" s="79" t="s">
        <v>124</v>
      </c>
      <c r="M28" s="594">
        <f t="shared" si="0"/>
        <v>26928.983999999993</v>
      </c>
      <c r="N28" s="597" t="s">
        <v>124</v>
      </c>
      <c r="O28" s="76" t="s">
        <v>124</v>
      </c>
      <c r="P28" s="76" t="s">
        <v>124</v>
      </c>
      <c r="Q28" s="76" t="s">
        <v>124</v>
      </c>
      <c r="R28" s="76" t="s">
        <v>124</v>
      </c>
      <c r="S28" s="83"/>
      <c r="T28" s="83"/>
    </row>
    <row r="29" spans="2:20" ht="14.25" customHeight="1" x14ac:dyDescent="0.25">
      <c r="B29" s="50">
        <v>23</v>
      </c>
      <c r="C29" s="57" t="s">
        <v>486</v>
      </c>
      <c r="D29" s="51" t="s">
        <v>28</v>
      </c>
      <c r="E29" s="95" t="s">
        <v>173</v>
      </c>
      <c r="F29" s="95" t="s">
        <v>174</v>
      </c>
      <c r="G29" s="98"/>
      <c r="H29" s="95" t="s">
        <v>101</v>
      </c>
      <c r="I29" s="581">
        <v>0</v>
      </c>
      <c r="J29" s="572">
        <v>800474.45999999961</v>
      </c>
      <c r="K29" s="584">
        <f t="shared" si="1"/>
        <v>800474.45999999961</v>
      </c>
      <c r="L29" s="79" t="s">
        <v>124</v>
      </c>
      <c r="M29" s="594">
        <f t="shared" si="0"/>
        <v>40023.722999999984</v>
      </c>
      <c r="N29" s="597" t="s">
        <v>124</v>
      </c>
      <c r="O29" s="76" t="s">
        <v>124</v>
      </c>
      <c r="P29" s="76" t="s">
        <v>124</v>
      </c>
      <c r="Q29" s="76" t="s">
        <v>124</v>
      </c>
      <c r="R29" s="76" t="s">
        <v>124</v>
      </c>
      <c r="S29" s="83"/>
      <c r="T29" s="83"/>
    </row>
    <row r="30" spans="2:20" ht="14.25" customHeight="1" x14ac:dyDescent="0.25">
      <c r="B30" s="50">
        <v>24</v>
      </c>
      <c r="C30" s="63" t="s">
        <v>486</v>
      </c>
      <c r="D30" s="51" t="s">
        <v>28</v>
      </c>
      <c r="E30" s="95" t="s">
        <v>651</v>
      </c>
      <c r="F30" s="95" t="s">
        <v>659</v>
      </c>
      <c r="G30" s="98"/>
      <c r="H30" s="95" t="s">
        <v>45</v>
      </c>
      <c r="I30" s="581">
        <v>0</v>
      </c>
      <c r="J30" s="572">
        <v>398974.95999999996</v>
      </c>
      <c r="K30" s="584">
        <f t="shared" si="1"/>
        <v>398974.95999999996</v>
      </c>
      <c r="L30" s="79" t="s">
        <v>124</v>
      </c>
      <c r="M30" s="594">
        <f t="shared" si="0"/>
        <v>19948.748</v>
      </c>
      <c r="N30" s="597" t="s">
        <v>124</v>
      </c>
      <c r="O30" s="76" t="s">
        <v>124</v>
      </c>
      <c r="P30" s="76" t="s">
        <v>124</v>
      </c>
      <c r="Q30" s="76" t="s">
        <v>124</v>
      </c>
      <c r="R30" s="76" t="s">
        <v>124</v>
      </c>
      <c r="S30" s="83"/>
      <c r="T30" s="83"/>
    </row>
    <row r="31" spans="2:20" s="269" customFormat="1" ht="24.75" customHeight="1" x14ac:dyDescent="0.25">
      <c r="B31" s="328">
        <f>+B30</f>
        <v>24</v>
      </c>
      <c r="C31" s="329"/>
      <c r="D31" s="329"/>
      <c r="E31" s="329"/>
      <c r="F31" s="324" t="s">
        <v>193</v>
      </c>
      <c r="G31" s="328"/>
      <c r="H31" s="329"/>
      <c r="I31" s="583">
        <f t="shared" ref="I31:T31" si="2">SUM(I6:I30)</f>
        <v>1433291.7999999998</v>
      </c>
      <c r="J31" s="326">
        <f t="shared" si="2"/>
        <v>67942548.767199963</v>
      </c>
      <c r="K31" s="585">
        <f t="shared" si="2"/>
        <v>69375840.56719996</v>
      </c>
      <c r="L31" s="326">
        <f t="shared" si="2"/>
        <v>0</v>
      </c>
      <c r="M31" s="583">
        <f t="shared" si="2"/>
        <v>3468792.0283599985</v>
      </c>
      <c r="N31" s="583">
        <f t="shared" si="2"/>
        <v>0</v>
      </c>
      <c r="O31" s="326">
        <f t="shared" si="2"/>
        <v>0</v>
      </c>
      <c r="P31" s="326">
        <f t="shared" si="2"/>
        <v>0</v>
      </c>
      <c r="Q31" s="327">
        <f t="shared" si="2"/>
        <v>0</v>
      </c>
      <c r="R31" s="327">
        <f t="shared" si="2"/>
        <v>0</v>
      </c>
      <c r="S31" s="326">
        <f t="shared" si="2"/>
        <v>0</v>
      </c>
      <c r="T31" s="326">
        <f t="shared" si="2"/>
        <v>0</v>
      </c>
    </row>
    <row r="32" spans="2:20" s="91" customFormat="1" ht="12" customHeight="1" x14ac:dyDescent="0.2">
      <c r="B32" s="99"/>
      <c r="C32" s="9"/>
      <c r="D32" s="9"/>
      <c r="E32" s="100"/>
      <c r="F32" s="9"/>
      <c r="G32" s="99"/>
      <c r="H32" s="9"/>
      <c r="I32" s="101"/>
      <c r="J32" s="90"/>
      <c r="K32" s="90"/>
      <c r="Q32" s="169"/>
      <c r="R32" s="169"/>
    </row>
    <row r="33" spans="2:20" s="91" customFormat="1" ht="15.75" x14ac:dyDescent="0.2">
      <c r="B33" s="99"/>
      <c r="C33" s="530" t="s">
        <v>594</v>
      </c>
      <c r="D33" s="9"/>
      <c r="E33" s="162" t="s">
        <v>471</v>
      </c>
      <c r="F33" s="9"/>
      <c r="G33" s="99"/>
      <c r="H33" s="9"/>
      <c r="J33" s="90"/>
      <c r="K33" s="110"/>
      <c r="Q33" s="169"/>
      <c r="R33" s="169"/>
    </row>
    <row r="34" spans="2:20" s="9" customFormat="1" ht="14.25" customHeight="1" x14ac:dyDescent="0.25">
      <c r="B34" s="50">
        <v>1</v>
      </c>
      <c r="C34" s="63" t="s">
        <v>178</v>
      </c>
      <c r="D34" s="66" t="s">
        <v>28</v>
      </c>
      <c r="E34" s="102" t="s">
        <v>661</v>
      </c>
      <c r="F34" s="95" t="s">
        <v>662</v>
      </c>
      <c r="G34" s="103"/>
      <c r="H34" s="102" t="s">
        <v>5</v>
      </c>
      <c r="I34" s="587">
        <v>2082597.65</v>
      </c>
      <c r="J34" s="572">
        <v>140288.64000000004</v>
      </c>
      <c r="K34" s="586">
        <f>+I34+J34</f>
        <v>2222886.29</v>
      </c>
      <c r="L34" s="516" t="s">
        <v>124</v>
      </c>
      <c r="M34" s="592">
        <f>(I34+J34)*5%</f>
        <v>111144.31450000001</v>
      </c>
      <c r="N34" s="87" t="s">
        <v>124</v>
      </c>
      <c r="O34" s="87" t="s">
        <v>124</v>
      </c>
      <c r="P34" s="87" t="s">
        <v>124</v>
      </c>
      <c r="Q34" s="87" t="s">
        <v>124</v>
      </c>
      <c r="R34" s="87" t="s">
        <v>124</v>
      </c>
      <c r="S34" s="51"/>
      <c r="T34" s="51"/>
    </row>
    <row r="35" spans="2:20" s="9" customFormat="1" ht="14.25" hidden="1" customHeight="1" x14ac:dyDescent="0.25">
      <c r="B35" s="50">
        <v>2</v>
      </c>
      <c r="C35" s="63" t="s">
        <v>178</v>
      </c>
      <c r="D35" s="66" t="s">
        <v>28</v>
      </c>
      <c r="E35" s="514" t="s">
        <v>176</v>
      </c>
      <c r="F35" s="9" t="s">
        <v>177</v>
      </c>
      <c r="G35" s="515"/>
      <c r="H35" s="514" t="s">
        <v>101</v>
      </c>
      <c r="I35" s="517">
        <v>2706805.6</v>
      </c>
      <c r="J35" s="10"/>
      <c r="K35" s="149">
        <f>+I35+J35</f>
        <v>2706805.6</v>
      </c>
      <c r="L35" s="516" t="s">
        <v>124</v>
      </c>
      <c r="M35" s="595">
        <f>(I35+J35)*5%</f>
        <v>135340.28</v>
      </c>
      <c r="N35" s="87" t="s">
        <v>124</v>
      </c>
      <c r="O35" s="87" t="s">
        <v>124</v>
      </c>
      <c r="P35" s="87" t="s">
        <v>124</v>
      </c>
      <c r="Q35" s="87" t="s">
        <v>124</v>
      </c>
      <c r="R35" s="87" t="s">
        <v>124</v>
      </c>
      <c r="S35" s="51"/>
      <c r="T35" s="51"/>
    </row>
    <row r="36" spans="2:20" s="190" customFormat="1" ht="21.75" customHeight="1" x14ac:dyDescent="0.25">
      <c r="B36" s="328">
        <f>+B34</f>
        <v>1</v>
      </c>
      <c r="C36" s="323"/>
      <c r="D36" s="323"/>
      <c r="E36" s="323"/>
      <c r="F36" s="324" t="s">
        <v>194</v>
      </c>
      <c r="G36" s="325"/>
      <c r="H36" s="323"/>
      <c r="I36" s="583">
        <f>+I34+I35</f>
        <v>4789403.25</v>
      </c>
      <c r="J36" s="326">
        <f>SUM(J34)</f>
        <v>140288.64000000004</v>
      </c>
      <c r="K36" s="585">
        <f>+K34+K35</f>
        <v>4929691.8900000006</v>
      </c>
      <c r="L36" s="326">
        <f t="shared" ref="L36:T36" si="3">SUM(L34)</f>
        <v>0</v>
      </c>
      <c r="M36" s="593">
        <f>+M34+M35</f>
        <v>246484.59450000001</v>
      </c>
      <c r="N36" s="326">
        <f t="shared" si="3"/>
        <v>0</v>
      </c>
      <c r="O36" s="326">
        <f t="shared" si="3"/>
        <v>0</v>
      </c>
      <c r="P36" s="326">
        <f t="shared" si="3"/>
        <v>0</v>
      </c>
      <c r="Q36" s="327">
        <f t="shared" si="3"/>
        <v>0</v>
      </c>
      <c r="R36" s="327">
        <f t="shared" si="3"/>
        <v>0</v>
      </c>
      <c r="S36" s="326">
        <f t="shared" si="3"/>
        <v>0</v>
      </c>
      <c r="T36" s="326">
        <f t="shared" si="3"/>
        <v>0</v>
      </c>
    </row>
    <row r="37" spans="2:20" s="91" customFormat="1" ht="11.25" x14ac:dyDescent="0.2">
      <c r="B37" s="99"/>
      <c r="C37" s="9"/>
      <c r="D37" s="9"/>
      <c r="E37" s="100"/>
      <c r="F37" s="9"/>
      <c r="G37" s="99"/>
      <c r="H37" s="9"/>
      <c r="J37" s="90"/>
      <c r="K37" s="90"/>
      <c r="Q37" s="169"/>
      <c r="R37" s="169"/>
    </row>
    <row r="38" spans="2:20" s="9" customFormat="1" ht="15.75" x14ac:dyDescent="0.25">
      <c r="B38" s="99"/>
      <c r="C38" s="529" t="s">
        <v>594</v>
      </c>
      <c r="E38" s="162" t="s">
        <v>472</v>
      </c>
      <c r="G38" s="99"/>
      <c r="J38" s="10"/>
      <c r="K38" s="10"/>
      <c r="Q38" s="99"/>
      <c r="R38" s="99"/>
    </row>
    <row r="39" spans="2:20" s="9" customFormat="1" ht="13.5" customHeight="1" x14ac:dyDescent="0.25">
      <c r="B39" s="50">
        <v>1</v>
      </c>
      <c r="C39" s="51" t="s">
        <v>83</v>
      </c>
      <c r="D39" s="51" t="s">
        <v>28</v>
      </c>
      <c r="E39" s="66" t="s">
        <v>663</v>
      </c>
      <c r="F39" s="66" t="s">
        <v>678</v>
      </c>
      <c r="G39" s="50"/>
      <c r="H39" s="66" t="s">
        <v>12</v>
      </c>
      <c r="I39" s="589">
        <v>0</v>
      </c>
      <c r="J39" s="517">
        <v>286267.66000000003</v>
      </c>
      <c r="K39" s="588">
        <f>+I39+J39</f>
        <v>286267.66000000003</v>
      </c>
      <c r="L39" s="516" t="s">
        <v>124</v>
      </c>
      <c r="M39" s="592">
        <f>(I39+J39)*5%</f>
        <v>14313.383000000002</v>
      </c>
      <c r="N39" s="516" t="s">
        <v>124</v>
      </c>
      <c r="O39" s="516" t="s">
        <v>124</v>
      </c>
      <c r="P39" s="516" t="s">
        <v>124</v>
      </c>
      <c r="Q39" s="516" t="s">
        <v>124</v>
      </c>
      <c r="R39" s="516" t="s">
        <v>124</v>
      </c>
      <c r="S39" s="51"/>
      <c r="T39" s="51"/>
    </row>
    <row r="40" spans="2:20" s="9" customFormat="1" ht="13.5" customHeight="1" x14ac:dyDescent="0.25">
      <c r="B40" s="50">
        <v>2</v>
      </c>
      <c r="C40" s="51" t="s">
        <v>83</v>
      </c>
      <c r="D40" s="51" t="s">
        <v>28</v>
      </c>
      <c r="E40" s="66" t="s">
        <v>664</v>
      </c>
      <c r="F40" s="66" t="s">
        <v>679</v>
      </c>
      <c r="G40" s="50"/>
      <c r="H40" s="66" t="s">
        <v>5</v>
      </c>
      <c r="I40" s="589">
        <v>90382989.930000007</v>
      </c>
      <c r="J40" s="517">
        <v>103247310.45949985</v>
      </c>
      <c r="K40" s="588">
        <f>+I40+J40</f>
        <v>193630300.38949984</v>
      </c>
      <c r="L40" s="516" t="s">
        <v>124</v>
      </c>
      <c r="M40" s="592">
        <f>(I40+J40)*5%</f>
        <v>9681515.0194749925</v>
      </c>
      <c r="N40" s="516" t="s">
        <v>124</v>
      </c>
      <c r="O40" s="516" t="s">
        <v>124</v>
      </c>
      <c r="P40" s="516" t="s">
        <v>124</v>
      </c>
      <c r="Q40" s="516" t="s">
        <v>124</v>
      </c>
      <c r="R40" s="516" t="s">
        <v>124</v>
      </c>
      <c r="S40" s="51"/>
      <c r="T40" s="51"/>
    </row>
    <row r="41" spans="2:20" s="9" customFormat="1" ht="13.5" customHeight="1" x14ac:dyDescent="0.25">
      <c r="B41" s="50">
        <v>3</v>
      </c>
      <c r="C41" s="51" t="s">
        <v>83</v>
      </c>
      <c r="D41" s="51" t="s">
        <v>28</v>
      </c>
      <c r="E41" s="66" t="s">
        <v>665</v>
      </c>
      <c r="F41" s="66" t="s">
        <v>680</v>
      </c>
      <c r="G41" s="50"/>
      <c r="H41" s="51" t="s">
        <v>5</v>
      </c>
      <c r="I41" s="589">
        <v>32429677.5</v>
      </c>
      <c r="J41" s="517">
        <v>84452065.900000006</v>
      </c>
      <c r="K41" s="588">
        <f>+I41+J41</f>
        <v>116881743.40000001</v>
      </c>
      <c r="L41" s="516" t="s">
        <v>124</v>
      </c>
      <c r="M41" s="592">
        <f>(I41+J41)*5%</f>
        <v>5844087.1700000009</v>
      </c>
      <c r="N41" s="516" t="s">
        <v>124</v>
      </c>
      <c r="O41" s="516" t="s">
        <v>124</v>
      </c>
      <c r="P41" s="516" t="s">
        <v>124</v>
      </c>
      <c r="Q41" s="516" t="s">
        <v>124</v>
      </c>
      <c r="R41" s="516" t="s">
        <v>124</v>
      </c>
      <c r="S41" s="51"/>
      <c r="T41" s="51"/>
    </row>
    <row r="42" spans="2:20" s="9" customFormat="1" ht="13.5" customHeight="1" x14ac:dyDescent="0.25">
      <c r="B42" s="50">
        <v>4</v>
      </c>
      <c r="C42" s="51" t="s">
        <v>83</v>
      </c>
      <c r="D42" s="51" t="s">
        <v>28</v>
      </c>
      <c r="E42" s="66" t="s">
        <v>666</v>
      </c>
      <c r="F42" s="66" t="s">
        <v>681</v>
      </c>
      <c r="G42" s="50"/>
      <c r="H42" s="66" t="s">
        <v>5</v>
      </c>
      <c r="I42" s="589">
        <v>32429677.5</v>
      </c>
      <c r="J42" s="517">
        <v>461576.66</v>
      </c>
      <c r="K42" s="588">
        <f>+I42+J42</f>
        <v>32891254.16</v>
      </c>
      <c r="L42" s="516" t="s">
        <v>124</v>
      </c>
      <c r="M42" s="592">
        <f>(I42+J42)*5%</f>
        <v>1644562.7080000001</v>
      </c>
      <c r="N42" s="516" t="s">
        <v>124</v>
      </c>
      <c r="O42" s="516" t="s">
        <v>124</v>
      </c>
      <c r="P42" s="516" t="s">
        <v>124</v>
      </c>
      <c r="Q42" s="516" t="s">
        <v>124</v>
      </c>
      <c r="R42" s="516" t="s">
        <v>124</v>
      </c>
      <c r="S42" s="51"/>
      <c r="T42" s="51"/>
    </row>
    <row r="43" spans="2:20" s="9" customFormat="1" ht="13.5" customHeight="1" x14ac:dyDescent="0.25">
      <c r="B43" s="50">
        <v>5</v>
      </c>
      <c r="C43" s="51" t="s">
        <v>83</v>
      </c>
      <c r="D43" s="51" t="s">
        <v>28</v>
      </c>
      <c r="E43" s="66" t="s">
        <v>667</v>
      </c>
      <c r="F43" s="66" t="s">
        <v>682</v>
      </c>
      <c r="G43" s="50"/>
      <c r="H43" s="66" t="s">
        <v>5</v>
      </c>
      <c r="I43" s="589">
        <v>36245758.450000003</v>
      </c>
      <c r="J43" s="517">
        <v>46781212.607400052</v>
      </c>
      <c r="K43" s="588">
        <f t="shared" ref="K43:K57" si="4">+I43+J43</f>
        <v>83026971.057400048</v>
      </c>
      <c r="L43" s="516" t="s">
        <v>124</v>
      </c>
      <c r="M43" s="592">
        <f t="shared" ref="M43:M57" si="5">(I43+J43)*5%</f>
        <v>4151348.5528700026</v>
      </c>
      <c r="N43" s="516" t="s">
        <v>124</v>
      </c>
      <c r="O43" s="516" t="s">
        <v>124</v>
      </c>
      <c r="P43" s="516" t="s">
        <v>124</v>
      </c>
      <c r="Q43" s="516" t="s">
        <v>124</v>
      </c>
      <c r="R43" s="516" t="s">
        <v>124</v>
      </c>
      <c r="S43" s="51"/>
      <c r="T43" s="51"/>
    </row>
    <row r="44" spans="2:20" s="9" customFormat="1" ht="13.5" customHeight="1" x14ac:dyDescent="0.25">
      <c r="B44" s="50">
        <v>6</v>
      </c>
      <c r="C44" s="51" t="s">
        <v>83</v>
      </c>
      <c r="D44" s="51" t="s">
        <v>28</v>
      </c>
      <c r="E44" s="66" t="s">
        <v>668</v>
      </c>
      <c r="F44" s="66" t="s">
        <v>683</v>
      </c>
      <c r="G44" s="50"/>
      <c r="H44" s="66" t="s">
        <v>5</v>
      </c>
      <c r="I44" s="589">
        <v>11646569.779999999</v>
      </c>
      <c r="J44" s="517">
        <v>25092466.696000043</v>
      </c>
      <c r="K44" s="588">
        <f t="shared" si="4"/>
        <v>36739036.476000041</v>
      </c>
      <c r="L44" s="516" t="s">
        <v>124</v>
      </c>
      <c r="M44" s="592">
        <f t="shared" si="5"/>
        <v>1836951.8238000022</v>
      </c>
      <c r="N44" s="516" t="s">
        <v>124</v>
      </c>
      <c r="O44" s="516" t="s">
        <v>124</v>
      </c>
      <c r="P44" s="516" t="s">
        <v>124</v>
      </c>
      <c r="Q44" s="516" t="s">
        <v>124</v>
      </c>
      <c r="R44" s="516" t="s">
        <v>124</v>
      </c>
      <c r="S44" s="51"/>
      <c r="T44" s="51"/>
    </row>
    <row r="45" spans="2:20" s="9" customFormat="1" ht="13.5" customHeight="1" x14ac:dyDescent="0.25">
      <c r="B45" s="50">
        <v>7</v>
      </c>
      <c r="C45" s="51" t="s">
        <v>83</v>
      </c>
      <c r="D45" s="51" t="s">
        <v>28</v>
      </c>
      <c r="E45" s="66" t="s">
        <v>669</v>
      </c>
      <c r="F45" s="66" t="s">
        <v>684</v>
      </c>
      <c r="G45" s="50"/>
      <c r="H45" s="66" t="s">
        <v>5</v>
      </c>
      <c r="I45" s="589">
        <v>32429677.5</v>
      </c>
      <c r="J45" s="517">
        <v>1808881.49</v>
      </c>
      <c r="K45" s="588">
        <f t="shared" si="4"/>
        <v>34238558.990000002</v>
      </c>
      <c r="L45" s="516" t="s">
        <v>124</v>
      </c>
      <c r="M45" s="592">
        <f t="shared" si="5"/>
        <v>1711927.9495000001</v>
      </c>
      <c r="N45" s="516" t="s">
        <v>124</v>
      </c>
      <c r="O45" s="516" t="s">
        <v>124</v>
      </c>
      <c r="P45" s="516" t="s">
        <v>124</v>
      </c>
      <c r="Q45" s="516" t="s">
        <v>124</v>
      </c>
      <c r="R45" s="516" t="s">
        <v>124</v>
      </c>
      <c r="S45" s="51"/>
      <c r="T45" s="51"/>
    </row>
    <row r="46" spans="2:20" s="9" customFormat="1" ht="13.5" customHeight="1" x14ac:dyDescent="0.25">
      <c r="B46" s="50">
        <v>8</v>
      </c>
      <c r="C46" s="51" t="s">
        <v>83</v>
      </c>
      <c r="D46" s="51" t="s">
        <v>28</v>
      </c>
      <c r="E46" s="66" t="s">
        <v>670</v>
      </c>
      <c r="F46" s="66" t="s">
        <v>685</v>
      </c>
      <c r="G46" s="50"/>
      <c r="H46" s="66" t="s">
        <v>2</v>
      </c>
      <c r="I46" s="589">
        <v>73911.11</v>
      </c>
      <c r="J46" s="517">
        <v>282806.02</v>
      </c>
      <c r="K46" s="588">
        <f t="shared" si="4"/>
        <v>356717.13</v>
      </c>
      <c r="L46" s="516" t="s">
        <v>124</v>
      </c>
      <c r="M46" s="592">
        <f t="shared" si="5"/>
        <v>17835.856500000002</v>
      </c>
      <c r="N46" s="516" t="s">
        <v>124</v>
      </c>
      <c r="O46" s="516" t="s">
        <v>124</v>
      </c>
      <c r="P46" s="516" t="s">
        <v>124</v>
      </c>
      <c r="Q46" s="516" t="s">
        <v>124</v>
      </c>
      <c r="R46" s="516" t="s">
        <v>124</v>
      </c>
      <c r="S46" s="51"/>
      <c r="T46" s="51"/>
    </row>
    <row r="47" spans="2:20" s="9" customFormat="1" ht="13.5" customHeight="1" x14ac:dyDescent="0.25">
      <c r="B47" s="50">
        <v>9</v>
      </c>
      <c r="C47" s="51" t="s">
        <v>83</v>
      </c>
      <c r="D47" s="51" t="s">
        <v>28</v>
      </c>
      <c r="E47" s="66" t="s">
        <v>671</v>
      </c>
      <c r="F47" s="66" t="s">
        <v>685</v>
      </c>
      <c r="G47" s="50"/>
      <c r="H47" s="66" t="s">
        <v>34</v>
      </c>
      <c r="I47" s="589">
        <v>73911.11</v>
      </c>
      <c r="J47" s="517">
        <v>14073132.85</v>
      </c>
      <c r="K47" s="588">
        <f t="shared" si="4"/>
        <v>14147043.959999999</v>
      </c>
      <c r="L47" s="516" t="s">
        <v>124</v>
      </c>
      <c r="M47" s="592">
        <f t="shared" si="5"/>
        <v>707352.19799999997</v>
      </c>
      <c r="N47" s="516" t="s">
        <v>124</v>
      </c>
      <c r="O47" s="516" t="s">
        <v>124</v>
      </c>
      <c r="P47" s="516" t="s">
        <v>124</v>
      </c>
      <c r="Q47" s="516" t="s">
        <v>124</v>
      </c>
      <c r="R47" s="516" t="s">
        <v>124</v>
      </c>
      <c r="S47" s="51"/>
      <c r="T47" s="51"/>
    </row>
    <row r="48" spans="2:20" s="9" customFormat="1" ht="13.5" customHeight="1" x14ac:dyDescent="0.25">
      <c r="B48" s="50">
        <v>10</v>
      </c>
      <c r="C48" s="51" t="s">
        <v>83</v>
      </c>
      <c r="D48" s="51" t="s">
        <v>28</v>
      </c>
      <c r="E48" s="66" t="s">
        <v>672</v>
      </c>
      <c r="F48" s="66" t="s">
        <v>686</v>
      </c>
      <c r="G48" s="50"/>
      <c r="H48" s="66" t="s">
        <v>2</v>
      </c>
      <c r="I48" s="589">
        <v>2578144.02</v>
      </c>
      <c r="J48" s="517">
        <v>3859550.5419999994</v>
      </c>
      <c r="K48" s="588">
        <f t="shared" si="4"/>
        <v>6437694.561999999</v>
      </c>
      <c r="L48" s="516" t="s">
        <v>124</v>
      </c>
      <c r="M48" s="592">
        <f t="shared" si="5"/>
        <v>321884.72809999995</v>
      </c>
      <c r="N48" s="516" t="s">
        <v>124</v>
      </c>
      <c r="O48" s="516" t="s">
        <v>124</v>
      </c>
      <c r="P48" s="516" t="s">
        <v>124</v>
      </c>
      <c r="Q48" s="516" t="s">
        <v>124</v>
      </c>
      <c r="R48" s="516" t="s">
        <v>124</v>
      </c>
      <c r="S48" s="51"/>
      <c r="T48" s="51"/>
    </row>
    <row r="49" spans="2:20" s="9" customFormat="1" ht="13.5" customHeight="1" x14ac:dyDescent="0.25">
      <c r="B49" s="50">
        <v>11</v>
      </c>
      <c r="C49" s="51" t="s">
        <v>83</v>
      </c>
      <c r="D49" s="51" t="s">
        <v>28</v>
      </c>
      <c r="E49" s="66" t="s">
        <v>673</v>
      </c>
      <c r="F49" s="66" t="s">
        <v>687</v>
      </c>
      <c r="G49" s="50"/>
      <c r="H49" s="66" t="s">
        <v>5</v>
      </c>
      <c r="I49" s="589">
        <v>0</v>
      </c>
      <c r="J49" s="517">
        <v>1014650.67</v>
      </c>
      <c r="K49" s="588">
        <f t="shared" si="4"/>
        <v>1014650.67</v>
      </c>
      <c r="L49" s="516" t="s">
        <v>124</v>
      </c>
      <c r="M49" s="592">
        <f t="shared" si="5"/>
        <v>50732.533500000005</v>
      </c>
      <c r="N49" s="516" t="s">
        <v>124</v>
      </c>
      <c r="O49" s="516" t="s">
        <v>124</v>
      </c>
      <c r="P49" s="516" t="s">
        <v>124</v>
      </c>
      <c r="Q49" s="516" t="s">
        <v>124</v>
      </c>
      <c r="R49" s="516" t="s">
        <v>124</v>
      </c>
      <c r="S49" s="51"/>
      <c r="T49" s="51"/>
    </row>
    <row r="50" spans="2:20" s="9" customFormat="1" ht="13.5" customHeight="1" x14ac:dyDescent="0.25">
      <c r="B50" s="50">
        <v>12</v>
      </c>
      <c r="C50" s="51" t="s">
        <v>83</v>
      </c>
      <c r="D50" s="51" t="s">
        <v>28</v>
      </c>
      <c r="E50" s="66" t="s">
        <v>674</v>
      </c>
      <c r="F50" s="66" t="s">
        <v>688</v>
      </c>
      <c r="G50" s="50"/>
      <c r="H50" s="66" t="s">
        <v>35</v>
      </c>
      <c r="I50" s="589">
        <v>42016734.979999997</v>
      </c>
      <c r="J50" s="517">
        <v>11197331.999999991</v>
      </c>
      <c r="K50" s="588">
        <f t="shared" si="4"/>
        <v>53214066.979999989</v>
      </c>
      <c r="L50" s="516" t="s">
        <v>124</v>
      </c>
      <c r="M50" s="592">
        <f t="shared" si="5"/>
        <v>2660703.3489999995</v>
      </c>
      <c r="N50" s="516" t="s">
        <v>124</v>
      </c>
      <c r="O50" s="516" t="s">
        <v>124</v>
      </c>
      <c r="P50" s="516" t="s">
        <v>124</v>
      </c>
      <c r="Q50" s="516" t="s">
        <v>124</v>
      </c>
      <c r="R50" s="516" t="s">
        <v>124</v>
      </c>
      <c r="S50" s="51"/>
      <c r="T50" s="51"/>
    </row>
    <row r="51" spans="2:20" s="9" customFormat="1" ht="13.5" customHeight="1" x14ac:dyDescent="0.25">
      <c r="B51" s="50">
        <v>13</v>
      </c>
      <c r="C51" s="51" t="s">
        <v>83</v>
      </c>
      <c r="D51" s="51" t="s">
        <v>28</v>
      </c>
      <c r="E51" s="66" t="s">
        <v>184</v>
      </c>
      <c r="F51" s="66" t="s">
        <v>179</v>
      </c>
      <c r="G51" s="50"/>
      <c r="H51" s="66" t="s">
        <v>35</v>
      </c>
      <c r="I51" s="589">
        <v>84000</v>
      </c>
      <c r="J51" s="517">
        <v>393139.69</v>
      </c>
      <c r="K51" s="588">
        <f t="shared" si="4"/>
        <v>477139.69</v>
      </c>
      <c r="L51" s="516" t="s">
        <v>124</v>
      </c>
      <c r="M51" s="592">
        <f t="shared" si="5"/>
        <v>23856.984500000002</v>
      </c>
      <c r="N51" s="516" t="s">
        <v>124</v>
      </c>
      <c r="O51" s="516" t="s">
        <v>124</v>
      </c>
      <c r="P51" s="516" t="s">
        <v>124</v>
      </c>
      <c r="Q51" s="516" t="s">
        <v>124</v>
      </c>
      <c r="R51" s="516" t="s">
        <v>124</v>
      </c>
      <c r="S51" s="51"/>
      <c r="T51" s="51"/>
    </row>
    <row r="52" spans="2:20" s="9" customFormat="1" ht="13.5" customHeight="1" x14ac:dyDescent="0.25">
      <c r="B52" s="50">
        <v>14</v>
      </c>
      <c r="C52" s="51" t="s">
        <v>83</v>
      </c>
      <c r="D52" s="51" t="s">
        <v>28</v>
      </c>
      <c r="E52" s="66" t="s">
        <v>185</v>
      </c>
      <c r="F52" s="66" t="s">
        <v>180</v>
      </c>
      <c r="G52" s="50"/>
      <c r="H52" s="66" t="s">
        <v>49</v>
      </c>
      <c r="I52" s="589">
        <v>368323.2</v>
      </c>
      <c r="J52" s="517">
        <v>384997.85200000019</v>
      </c>
      <c r="K52" s="588">
        <f t="shared" si="4"/>
        <v>753321.05200000014</v>
      </c>
      <c r="L52" s="516" t="s">
        <v>124</v>
      </c>
      <c r="M52" s="592">
        <f t="shared" si="5"/>
        <v>37666.05260000001</v>
      </c>
      <c r="N52" s="516" t="s">
        <v>124</v>
      </c>
      <c r="O52" s="516" t="s">
        <v>124</v>
      </c>
      <c r="P52" s="516" t="s">
        <v>124</v>
      </c>
      <c r="Q52" s="516" t="s">
        <v>124</v>
      </c>
      <c r="R52" s="516" t="s">
        <v>124</v>
      </c>
      <c r="S52" s="51"/>
      <c r="T52" s="51"/>
    </row>
    <row r="53" spans="2:20" s="9" customFormat="1" ht="13.5" customHeight="1" x14ac:dyDescent="0.25">
      <c r="B53" s="50">
        <v>15</v>
      </c>
      <c r="C53" s="51" t="s">
        <v>83</v>
      </c>
      <c r="D53" s="51" t="s">
        <v>28</v>
      </c>
      <c r="E53" s="66" t="s">
        <v>186</v>
      </c>
      <c r="F53" s="66" t="s">
        <v>181</v>
      </c>
      <c r="G53" s="50"/>
      <c r="H53" s="66" t="s">
        <v>189</v>
      </c>
      <c r="I53" s="589">
        <v>805888.9</v>
      </c>
      <c r="J53" s="517">
        <v>428086.00000000006</v>
      </c>
      <c r="K53" s="588">
        <f t="shared" si="4"/>
        <v>1233974.9000000001</v>
      </c>
      <c r="L53" s="516" t="s">
        <v>124</v>
      </c>
      <c r="M53" s="592">
        <f t="shared" si="5"/>
        <v>61698.74500000001</v>
      </c>
      <c r="N53" s="516" t="s">
        <v>124</v>
      </c>
      <c r="O53" s="516" t="s">
        <v>124</v>
      </c>
      <c r="P53" s="516" t="s">
        <v>124</v>
      </c>
      <c r="Q53" s="516" t="s">
        <v>124</v>
      </c>
      <c r="R53" s="516" t="s">
        <v>124</v>
      </c>
      <c r="S53" s="51"/>
      <c r="T53" s="51"/>
    </row>
    <row r="54" spans="2:20" s="9" customFormat="1" ht="13.5" customHeight="1" x14ac:dyDescent="0.25">
      <c r="B54" s="50">
        <v>16</v>
      </c>
      <c r="C54" s="51" t="s">
        <v>83</v>
      </c>
      <c r="D54" s="51" t="s">
        <v>28</v>
      </c>
      <c r="E54" s="66" t="s">
        <v>675</v>
      </c>
      <c r="F54" s="66" t="s">
        <v>689</v>
      </c>
      <c r="G54" s="50"/>
      <c r="H54" s="66" t="s">
        <v>46</v>
      </c>
      <c r="I54" s="589">
        <v>0</v>
      </c>
      <c r="J54" s="517">
        <v>29771.25</v>
      </c>
      <c r="K54" s="588">
        <f t="shared" si="4"/>
        <v>29771.25</v>
      </c>
      <c r="L54" s="516" t="s">
        <v>124</v>
      </c>
      <c r="M54" s="592">
        <f t="shared" si="5"/>
        <v>1488.5625</v>
      </c>
      <c r="N54" s="516" t="s">
        <v>124</v>
      </c>
      <c r="O54" s="516" t="s">
        <v>124</v>
      </c>
      <c r="P54" s="516" t="s">
        <v>124</v>
      </c>
      <c r="Q54" s="516" t="s">
        <v>124</v>
      </c>
      <c r="R54" s="516" t="s">
        <v>124</v>
      </c>
      <c r="S54" s="51"/>
      <c r="T54" s="51"/>
    </row>
    <row r="55" spans="2:20" s="9" customFormat="1" ht="13.5" customHeight="1" x14ac:dyDescent="0.25">
      <c r="B55" s="50">
        <v>17</v>
      </c>
      <c r="C55" s="51" t="s">
        <v>83</v>
      </c>
      <c r="D55" s="51" t="s">
        <v>28</v>
      </c>
      <c r="E55" s="66" t="s">
        <v>676</v>
      </c>
      <c r="F55" s="66" t="s">
        <v>690</v>
      </c>
      <c r="G55" s="50"/>
      <c r="H55" s="66" t="s">
        <v>261</v>
      </c>
      <c r="I55" s="589">
        <v>0</v>
      </c>
      <c r="J55" s="517">
        <v>27897.072</v>
      </c>
      <c r="K55" s="588">
        <f t="shared" si="4"/>
        <v>27897.072</v>
      </c>
      <c r="L55" s="516" t="s">
        <v>124</v>
      </c>
      <c r="M55" s="592">
        <f t="shared" si="5"/>
        <v>1394.8536000000001</v>
      </c>
      <c r="N55" s="516" t="s">
        <v>124</v>
      </c>
      <c r="O55" s="516" t="s">
        <v>124</v>
      </c>
      <c r="P55" s="516" t="s">
        <v>124</v>
      </c>
      <c r="Q55" s="516" t="s">
        <v>124</v>
      </c>
      <c r="R55" s="516" t="s">
        <v>124</v>
      </c>
      <c r="S55" s="51"/>
      <c r="T55" s="51"/>
    </row>
    <row r="56" spans="2:20" s="9" customFormat="1" ht="13.5" customHeight="1" x14ac:dyDescent="0.25">
      <c r="B56" s="50">
        <v>18</v>
      </c>
      <c r="C56" s="51" t="s">
        <v>83</v>
      </c>
      <c r="D56" s="51" t="s">
        <v>28</v>
      </c>
      <c r="E56" s="66" t="s">
        <v>187</v>
      </c>
      <c r="F56" s="66" t="s">
        <v>182</v>
      </c>
      <c r="G56" s="50"/>
      <c r="H56" s="66" t="s">
        <v>101</v>
      </c>
      <c r="I56" s="589">
        <v>7642425.7000000002</v>
      </c>
      <c r="J56" s="517">
        <v>2959365.1733999997</v>
      </c>
      <c r="K56" s="588">
        <f t="shared" si="4"/>
        <v>10601790.873399999</v>
      </c>
      <c r="L56" s="516" t="s">
        <v>124</v>
      </c>
      <c r="M56" s="592">
        <f t="shared" si="5"/>
        <v>530089.54366999993</v>
      </c>
      <c r="N56" s="516" t="s">
        <v>124</v>
      </c>
      <c r="O56" s="516" t="s">
        <v>124</v>
      </c>
      <c r="P56" s="516" t="s">
        <v>124</v>
      </c>
      <c r="Q56" s="516" t="s">
        <v>124</v>
      </c>
      <c r="R56" s="516" t="s">
        <v>124</v>
      </c>
      <c r="S56" s="51"/>
      <c r="T56" s="51"/>
    </row>
    <row r="57" spans="2:20" s="9" customFormat="1" ht="13.5" customHeight="1" x14ac:dyDescent="0.25">
      <c r="B57" s="50">
        <v>19</v>
      </c>
      <c r="C57" s="51" t="s">
        <v>83</v>
      </c>
      <c r="D57" s="51" t="s">
        <v>28</v>
      </c>
      <c r="E57" s="66" t="s">
        <v>677</v>
      </c>
      <c r="F57" s="66" t="s">
        <v>691</v>
      </c>
      <c r="G57" s="50"/>
      <c r="H57" s="66" t="s">
        <v>101</v>
      </c>
      <c r="I57" s="589">
        <v>42016734.979999997</v>
      </c>
      <c r="J57" s="517">
        <v>174924.12</v>
      </c>
      <c r="K57" s="588">
        <f t="shared" si="4"/>
        <v>42191659.099999994</v>
      </c>
      <c r="L57" s="516" t="s">
        <v>124</v>
      </c>
      <c r="M57" s="592">
        <f t="shared" si="5"/>
        <v>2109582.9549999996</v>
      </c>
      <c r="N57" s="516" t="s">
        <v>124</v>
      </c>
      <c r="O57" s="516" t="s">
        <v>124</v>
      </c>
      <c r="P57" s="516" t="s">
        <v>124</v>
      </c>
      <c r="Q57" s="516" t="s">
        <v>124</v>
      </c>
      <c r="R57" s="516" t="s">
        <v>124</v>
      </c>
      <c r="S57" s="51"/>
      <c r="T57" s="51"/>
    </row>
    <row r="58" spans="2:20" s="9" customFormat="1" ht="13.5" customHeight="1" x14ac:dyDescent="0.25">
      <c r="B58" s="50">
        <v>20</v>
      </c>
      <c r="C58" s="51" t="s">
        <v>83</v>
      </c>
      <c r="D58" s="51" t="s">
        <v>28</v>
      </c>
      <c r="E58" s="66" t="s">
        <v>188</v>
      </c>
      <c r="F58" s="66" t="s">
        <v>183</v>
      </c>
      <c r="G58" s="50"/>
      <c r="H58" s="66" t="s">
        <v>190</v>
      </c>
      <c r="I58" s="589">
        <v>100013</v>
      </c>
      <c r="J58" s="517">
        <v>644112.79999999993</v>
      </c>
      <c r="K58" s="588">
        <f>+I58+J58</f>
        <v>744125.79999999993</v>
      </c>
      <c r="L58" s="516" t="s">
        <v>124</v>
      </c>
      <c r="M58" s="592">
        <f>(I58+J58)*5%</f>
        <v>37206.29</v>
      </c>
      <c r="N58" s="516" t="s">
        <v>124</v>
      </c>
      <c r="O58" s="516" t="s">
        <v>124</v>
      </c>
      <c r="P58" s="516" t="s">
        <v>124</v>
      </c>
      <c r="Q58" s="516" t="s">
        <v>124</v>
      </c>
      <c r="R58" s="516" t="s">
        <v>124</v>
      </c>
      <c r="S58" s="51"/>
      <c r="T58" s="51"/>
    </row>
    <row r="59" spans="2:20" s="190" customFormat="1" ht="19.5" customHeight="1" x14ac:dyDescent="0.25">
      <c r="B59" s="491">
        <f>+B58</f>
        <v>20</v>
      </c>
      <c r="C59" s="323"/>
      <c r="D59" s="323"/>
      <c r="E59" s="323"/>
      <c r="F59" s="324" t="s">
        <v>195</v>
      </c>
      <c r="G59" s="325"/>
      <c r="H59" s="323"/>
      <c r="I59" s="583">
        <f t="shared" ref="I59:T59" si="6">SUM(I39:I58)</f>
        <v>331324437.66000003</v>
      </c>
      <c r="J59" s="326">
        <f t="shared" si="6"/>
        <v>297599547.51230001</v>
      </c>
      <c r="K59" s="585">
        <f t="shared" si="6"/>
        <v>628923985.17229998</v>
      </c>
      <c r="L59" s="326">
        <f t="shared" si="6"/>
        <v>0</v>
      </c>
      <c r="M59" s="593">
        <f t="shared" si="6"/>
        <v>31446199.258614991</v>
      </c>
      <c r="N59" s="326">
        <f t="shared" si="6"/>
        <v>0</v>
      </c>
      <c r="O59" s="326">
        <f t="shared" si="6"/>
        <v>0</v>
      </c>
      <c r="P59" s="326">
        <f t="shared" si="6"/>
        <v>0</v>
      </c>
      <c r="Q59" s="327">
        <f t="shared" si="6"/>
        <v>0</v>
      </c>
      <c r="R59" s="327">
        <f t="shared" si="6"/>
        <v>0</v>
      </c>
      <c r="S59" s="326">
        <f t="shared" si="6"/>
        <v>0</v>
      </c>
      <c r="T59" s="326">
        <f t="shared" si="6"/>
        <v>0</v>
      </c>
    </row>
    <row r="60" spans="2:20" s="91" customFormat="1" ht="11.25" x14ac:dyDescent="0.2">
      <c r="B60" s="99"/>
      <c r="C60" s="9"/>
      <c r="D60" s="9"/>
      <c r="E60" s="100"/>
      <c r="F60" s="9"/>
      <c r="G60" s="99"/>
      <c r="H60" s="9"/>
      <c r="J60" s="90"/>
      <c r="K60" s="90"/>
      <c r="Q60" s="169"/>
      <c r="R60" s="169"/>
    </row>
    <row r="61" spans="2:20" s="91" customFormat="1" ht="15.75" x14ac:dyDescent="0.2">
      <c r="B61" s="99"/>
      <c r="C61" s="408" t="s">
        <v>594</v>
      </c>
      <c r="D61" s="9"/>
      <c r="E61" s="162" t="s">
        <v>714</v>
      </c>
      <c r="F61" s="9"/>
      <c r="G61" s="99"/>
      <c r="H61" s="9"/>
      <c r="J61" s="90"/>
      <c r="K61" s="110"/>
      <c r="Q61" s="169"/>
      <c r="R61" s="169"/>
    </row>
    <row r="62" spans="2:20" s="9" customFormat="1" ht="14.25" customHeight="1" x14ac:dyDescent="0.25">
      <c r="B62" s="50">
        <v>1</v>
      </c>
      <c r="C62" s="63" t="s">
        <v>692</v>
      </c>
      <c r="D62" s="66" t="s">
        <v>28</v>
      </c>
      <c r="E62" s="66" t="s">
        <v>693</v>
      </c>
      <c r="F62" s="66" t="s">
        <v>703</v>
      </c>
      <c r="G62" s="103"/>
      <c r="H62" s="102" t="s">
        <v>49</v>
      </c>
      <c r="I62" s="590">
        <v>0</v>
      </c>
      <c r="J62" s="591">
        <v>0</v>
      </c>
      <c r="K62" s="592">
        <f>+I62+J62</f>
        <v>0</v>
      </c>
      <c r="L62" s="516" t="s">
        <v>124</v>
      </c>
      <c r="M62" s="592">
        <f>(I62+J62)*5%</f>
        <v>0</v>
      </c>
      <c r="N62" s="87" t="s">
        <v>124</v>
      </c>
      <c r="O62" s="87" t="s">
        <v>124</v>
      </c>
      <c r="P62" s="87" t="s">
        <v>124</v>
      </c>
      <c r="Q62" s="87" t="s">
        <v>124</v>
      </c>
      <c r="R62" s="87" t="s">
        <v>124</v>
      </c>
      <c r="S62" s="51"/>
      <c r="T62" s="51"/>
    </row>
    <row r="63" spans="2:20" s="9" customFormat="1" ht="14.25" customHeight="1" x14ac:dyDescent="0.25">
      <c r="B63" s="50">
        <v>2</v>
      </c>
      <c r="C63" s="63" t="s">
        <v>692</v>
      </c>
      <c r="D63" s="66" t="s">
        <v>28</v>
      </c>
      <c r="E63" s="66" t="s">
        <v>694</v>
      </c>
      <c r="F63" s="66" t="s">
        <v>704</v>
      </c>
      <c r="G63" s="515"/>
      <c r="H63" s="514" t="s">
        <v>2</v>
      </c>
      <c r="I63" s="590">
        <v>0</v>
      </c>
      <c r="J63" s="591">
        <v>0</v>
      </c>
      <c r="K63" s="592">
        <f t="shared" ref="K63:K70" si="7">+I63+J63</f>
        <v>0</v>
      </c>
      <c r="L63" s="516" t="s">
        <v>124</v>
      </c>
      <c r="M63" s="592">
        <f t="shared" ref="M63:M71" si="8">(I63+J63)*5%</f>
        <v>0</v>
      </c>
      <c r="N63" s="87" t="s">
        <v>124</v>
      </c>
      <c r="O63" s="87" t="s">
        <v>124</v>
      </c>
      <c r="P63" s="87" t="s">
        <v>124</v>
      </c>
      <c r="Q63" s="87" t="s">
        <v>124</v>
      </c>
      <c r="R63" s="87" t="s">
        <v>124</v>
      </c>
      <c r="S63" s="51"/>
      <c r="T63" s="51"/>
    </row>
    <row r="64" spans="2:20" s="9" customFormat="1" ht="14.25" customHeight="1" x14ac:dyDescent="0.25">
      <c r="B64" s="50">
        <v>3</v>
      </c>
      <c r="C64" s="63" t="s">
        <v>692</v>
      </c>
      <c r="D64" s="66" t="s">
        <v>28</v>
      </c>
      <c r="E64" s="66" t="s">
        <v>695</v>
      </c>
      <c r="F64" s="66" t="s">
        <v>705</v>
      </c>
      <c r="G64" s="67"/>
      <c r="H64" s="66" t="s">
        <v>44</v>
      </c>
      <c r="I64" s="590">
        <v>0</v>
      </c>
      <c r="J64" s="591">
        <v>0</v>
      </c>
      <c r="K64" s="592">
        <f t="shared" si="7"/>
        <v>0</v>
      </c>
      <c r="L64" s="516" t="s">
        <v>124</v>
      </c>
      <c r="M64" s="592">
        <f t="shared" si="8"/>
        <v>0</v>
      </c>
      <c r="N64" s="87" t="s">
        <v>124</v>
      </c>
      <c r="O64" s="87" t="s">
        <v>124</v>
      </c>
      <c r="P64" s="87" t="s">
        <v>124</v>
      </c>
      <c r="Q64" s="87" t="s">
        <v>124</v>
      </c>
      <c r="R64" s="87" t="s">
        <v>124</v>
      </c>
      <c r="S64" s="51"/>
      <c r="T64" s="51"/>
    </row>
    <row r="65" spans="2:20" s="9" customFormat="1" ht="14.25" customHeight="1" x14ac:dyDescent="0.25">
      <c r="B65" s="50">
        <v>4</v>
      </c>
      <c r="C65" s="63" t="s">
        <v>692</v>
      </c>
      <c r="D65" s="66" t="s">
        <v>28</v>
      </c>
      <c r="E65" s="66" t="s">
        <v>696</v>
      </c>
      <c r="F65" s="66" t="s">
        <v>706</v>
      </c>
      <c r="G65" s="67"/>
      <c r="H65" s="66" t="s">
        <v>4</v>
      </c>
      <c r="I65" s="590">
        <v>0</v>
      </c>
      <c r="J65" s="591">
        <v>0</v>
      </c>
      <c r="K65" s="592">
        <f t="shared" si="7"/>
        <v>0</v>
      </c>
      <c r="L65" s="516" t="s">
        <v>124</v>
      </c>
      <c r="M65" s="592">
        <f t="shared" si="8"/>
        <v>0</v>
      </c>
      <c r="N65" s="87" t="s">
        <v>124</v>
      </c>
      <c r="O65" s="87" t="s">
        <v>124</v>
      </c>
      <c r="P65" s="87" t="s">
        <v>124</v>
      </c>
      <c r="Q65" s="87" t="s">
        <v>124</v>
      </c>
      <c r="R65" s="87" t="s">
        <v>124</v>
      </c>
      <c r="S65" s="51"/>
      <c r="T65" s="51"/>
    </row>
    <row r="66" spans="2:20" s="9" customFormat="1" ht="14.25" customHeight="1" x14ac:dyDescent="0.25">
      <c r="B66" s="50">
        <v>5</v>
      </c>
      <c r="C66" s="63" t="s">
        <v>692</v>
      </c>
      <c r="D66" s="66" t="s">
        <v>28</v>
      </c>
      <c r="E66" s="66" t="s">
        <v>697</v>
      </c>
      <c r="F66" s="66" t="s">
        <v>707</v>
      </c>
      <c r="G66" s="67"/>
      <c r="H66" s="66" t="s">
        <v>189</v>
      </c>
      <c r="I66" s="590">
        <v>0</v>
      </c>
      <c r="J66" s="591">
        <v>0</v>
      </c>
      <c r="K66" s="592">
        <f t="shared" si="7"/>
        <v>0</v>
      </c>
      <c r="L66" s="516" t="s">
        <v>124</v>
      </c>
      <c r="M66" s="592">
        <f t="shared" si="8"/>
        <v>0</v>
      </c>
      <c r="N66" s="87" t="s">
        <v>124</v>
      </c>
      <c r="O66" s="87" t="s">
        <v>124</v>
      </c>
      <c r="P66" s="87" t="s">
        <v>124</v>
      </c>
      <c r="Q66" s="87" t="s">
        <v>124</v>
      </c>
      <c r="R66" s="87" t="s">
        <v>124</v>
      </c>
      <c r="S66" s="51"/>
      <c r="T66" s="51"/>
    </row>
    <row r="67" spans="2:20" s="9" customFormat="1" ht="14.25" customHeight="1" x14ac:dyDescent="0.25">
      <c r="B67" s="50">
        <v>6</v>
      </c>
      <c r="C67" s="63" t="s">
        <v>692</v>
      </c>
      <c r="D67" s="66" t="s">
        <v>28</v>
      </c>
      <c r="E67" s="66" t="s">
        <v>698</v>
      </c>
      <c r="F67" s="66" t="s">
        <v>708</v>
      </c>
      <c r="G67" s="67"/>
      <c r="H67" s="66" t="s">
        <v>51</v>
      </c>
      <c r="I67" s="590">
        <v>0</v>
      </c>
      <c r="J67" s="591">
        <v>0</v>
      </c>
      <c r="K67" s="592">
        <f t="shared" si="7"/>
        <v>0</v>
      </c>
      <c r="L67" s="516" t="s">
        <v>124</v>
      </c>
      <c r="M67" s="592">
        <f t="shared" si="8"/>
        <v>0</v>
      </c>
      <c r="N67" s="87" t="s">
        <v>124</v>
      </c>
      <c r="O67" s="87" t="s">
        <v>124</v>
      </c>
      <c r="P67" s="87" t="s">
        <v>124</v>
      </c>
      <c r="Q67" s="87" t="s">
        <v>124</v>
      </c>
      <c r="R67" s="87" t="s">
        <v>124</v>
      </c>
      <c r="S67" s="51"/>
      <c r="T67" s="51"/>
    </row>
    <row r="68" spans="2:20" s="9" customFormat="1" ht="14.25" customHeight="1" x14ac:dyDescent="0.25">
      <c r="B68" s="50">
        <v>7</v>
      </c>
      <c r="C68" s="63" t="s">
        <v>692</v>
      </c>
      <c r="D68" s="66" t="s">
        <v>28</v>
      </c>
      <c r="E68" s="66" t="s">
        <v>699</v>
      </c>
      <c r="F68" s="66" t="s">
        <v>709</v>
      </c>
      <c r="G68" s="67"/>
      <c r="H68" s="66" t="s">
        <v>101</v>
      </c>
      <c r="I68" s="590">
        <v>0</v>
      </c>
      <c r="J68" s="591">
        <v>0</v>
      </c>
      <c r="K68" s="592">
        <f t="shared" si="7"/>
        <v>0</v>
      </c>
      <c r="L68" s="516" t="s">
        <v>124</v>
      </c>
      <c r="M68" s="592">
        <f t="shared" si="8"/>
        <v>0</v>
      </c>
      <c r="N68" s="87" t="s">
        <v>124</v>
      </c>
      <c r="O68" s="87" t="s">
        <v>124</v>
      </c>
      <c r="P68" s="87" t="s">
        <v>124</v>
      </c>
      <c r="Q68" s="87" t="s">
        <v>124</v>
      </c>
      <c r="R68" s="87" t="s">
        <v>124</v>
      </c>
      <c r="S68" s="51"/>
      <c r="T68" s="51"/>
    </row>
    <row r="69" spans="2:20" s="9" customFormat="1" ht="14.25" customHeight="1" x14ac:dyDescent="0.25">
      <c r="B69" s="50">
        <v>8</v>
      </c>
      <c r="C69" s="63" t="s">
        <v>692</v>
      </c>
      <c r="D69" s="66" t="s">
        <v>28</v>
      </c>
      <c r="E69" s="66" t="s">
        <v>700</v>
      </c>
      <c r="F69" s="66" t="s">
        <v>710</v>
      </c>
      <c r="G69" s="67"/>
      <c r="H69" s="66" t="s">
        <v>101</v>
      </c>
      <c r="I69" s="590">
        <v>0</v>
      </c>
      <c r="J69" s="591">
        <v>0</v>
      </c>
      <c r="K69" s="592">
        <f t="shared" si="7"/>
        <v>0</v>
      </c>
      <c r="L69" s="516" t="s">
        <v>124</v>
      </c>
      <c r="M69" s="592">
        <f t="shared" si="8"/>
        <v>0</v>
      </c>
      <c r="N69" s="87" t="s">
        <v>124</v>
      </c>
      <c r="O69" s="87" t="s">
        <v>124</v>
      </c>
      <c r="P69" s="87" t="s">
        <v>124</v>
      </c>
      <c r="Q69" s="87" t="s">
        <v>124</v>
      </c>
      <c r="R69" s="87" t="s">
        <v>124</v>
      </c>
      <c r="S69" s="51"/>
      <c r="T69" s="51"/>
    </row>
    <row r="70" spans="2:20" s="9" customFormat="1" ht="14.25" customHeight="1" x14ac:dyDescent="0.25">
      <c r="B70" s="50">
        <v>9</v>
      </c>
      <c r="C70" s="63" t="s">
        <v>692</v>
      </c>
      <c r="D70" s="66" t="s">
        <v>28</v>
      </c>
      <c r="E70" s="66" t="s">
        <v>701</v>
      </c>
      <c r="F70" s="66" t="s">
        <v>711</v>
      </c>
      <c r="G70" s="67"/>
      <c r="H70" s="66" t="s">
        <v>47</v>
      </c>
      <c r="I70" s="590">
        <v>0</v>
      </c>
      <c r="J70" s="591">
        <v>0</v>
      </c>
      <c r="K70" s="592">
        <f t="shared" si="7"/>
        <v>0</v>
      </c>
      <c r="L70" s="516" t="s">
        <v>124</v>
      </c>
      <c r="M70" s="592">
        <f t="shared" si="8"/>
        <v>0</v>
      </c>
      <c r="N70" s="87" t="s">
        <v>124</v>
      </c>
      <c r="O70" s="87" t="s">
        <v>124</v>
      </c>
      <c r="P70" s="87" t="s">
        <v>124</v>
      </c>
      <c r="Q70" s="87" t="s">
        <v>124</v>
      </c>
      <c r="R70" s="87" t="s">
        <v>124</v>
      </c>
      <c r="S70" s="51"/>
      <c r="T70" s="51"/>
    </row>
    <row r="71" spans="2:20" s="9" customFormat="1" ht="14.25" customHeight="1" x14ac:dyDescent="0.25">
      <c r="B71" s="50">
        <v>10</v>
      </c>
      <c r="C71" s="63" t="s">
        <v>692</v>
      </c>
      <c r="D71" s="66" t="s">
        <v>28</v>
      </c>
      <c r="E71" s="66" t="s">
        <v>702</v>
      </c>
      <c r="F71" s="66" t="s">
        <v>712</v>
      </c>
      <c r="G71" s="515"/>
      <c r="H71" s="514" t="s">
        <v>190</v>
      </c>
      <c r="I71" s="590">
        <v>0</v>
      </c>
      <c r="J71" s="591">
        <v>0</v>
      </c>
      <c r="K71" s="592">
        <f>+I71+J71</f>
        <v>0</v>
      </c>
      <c r="L71" s="516" t="s">
        <v>124</v>
      </c>
      <c r="M71" s="592">
        <f t="shared" si="8"/>
        <v>0</v>
      </c>
      <c r="N71" s="87" t="s">
        <v>124</v>
      </c>
      <c r="O71" s="87" t="s">
        <v>124</v>
      </c>
      <c r="P71" s="87" t="s">
        <v>124</v>
      </c>
      <c r="Q71" s="87" t="s">
        <v>124</v>
      </c>
      <c r="R71" s="87" t="s">
        <v>124</v>
      </c>
      <c r="S71" s="51"/>
      <c r="T71" s="51"/>
    </row>
    <row r="72" spans="2:20" s="190" customFormat="1" ht="21.75" customHeight="1" x14ac:dyDescent="0.25">
      <c r="B72" s="328">
        <f>+B71</f>
        <v>10</v>
      </c>
      <c r="C72" s="323"/>
      <c r="D72" s="323"/>
      <c r="E72" s="323"/>
      <c r="F72" s="324" t="s">
        <v>715</v>
      </c>
      <c r="G72" s="325"/>
      <c r="H72" s="323"/>
      <c r="I72" s="583">
        <f>+I62+I71</f>
        <v>0</v>
      </c>
      <c r="J72" s="585">
        <f>SUM(J62)</f>
        <v>0</v>
      </c>
      <c r="K72" s="593">
        <f>SUM(K62:K71)</f>
        <v>0</v>
      </c>
      <c r="L72" s="326">
        <f t="shared" ref="L72:T72" si="9">SUM(L62)</f>
        <v>0</v>
      </c>
      <c r="M72" s="593">
        <f t="shared" si="9"/>
        <v>0</v>
      </c>
      <c r="N72" s="326">
        <f t="shared" si="9"/>
        <v>0</v>
      </c>
      <c r="O72" s="326">
        <f t="shared" si="9"/>
        <v>0</v>
      </c>
      <c r="P72" s="326">
        <f t="shared" si="9"/>
        <v>0</v>
      </c>
      <c r="Q72" s="327">
        <f t="shared" si="9"/>
        <v>0</v>
      </c>
      <c r="R72" s="327">
        <f t="shared" si="9"/>
        <v>0</v>
      </c>
      <c r="S72" s="326">
        <f t="shared" si="9"/>
        <v>0</v>
      </c>
      <c r="T72" s="326">
        <f t="shared" si="9"/>
        <v>0</v>
      </c>
    </row>
    <row r="73" spans="2:20" s="190" customFormat="1" ht="21.75" customHeight="1" x14ac:dyDescent="0.25">
      <c r="B73" s="518"/>
      <c r="C73" s="519"/>
      <c r="D73" s="519"/>
      <c r="E73" s="519"/>
      <c r="F73" s="520"/>
      <c r="G73" s="521"/>
      <c r="H73" s="519"/>
      <c r="I73" s="522"/>
      <c r="J73" s="522"/>
      <c r="K73" s="522"/>
      <c r="L73" s="522"/>
      <c r="M73" s="522"/>
      <c r="N73" s="522"/>
      <c r="O73" s="522"/>
      <c r="P73" s="522"/>
      <c r="Q73" s="523"/>
      <c r="R73" s="523"/>
      <c r="S73" s="522"/>
      <c r="T73" s="522"/>
    </row>
    <row r="74" spans="2:20" s="91" customFormat="1" ht="11.25" x14ac:dyDescent="0.2">
      <c r="B74" s="99"/>
      <c r="C74" s="9"/>
      <c r="D74" s="9"/>
      <c r="E74" s="100"/>
      <c r="F74" s="9"/>
      <c r="G74" s="99"/>
      <c r="H74" s="9"/>
      <c r="J74" s="90"/>
      <c r="K74" s="90"/>
      <c r="Q74" s="169"/>
      <c r="R74" s="169"/>
    </row>
    <row r="75" spans="2:20" s="124" customFormat="1" ht="30" customHeight="1" thickBot="1" x14ac:dyDescent="0.3">
      <c r="B75" s="490">
        <f>+B31+B36+B59</f>
        <v>45</v>
      </c>
      <c r="C75" s="126"/>
      <c r="D75" s="126"/>
      <c r="E75" s="397" t="s">
        <v>713</v>
      </c>
      <c r="F75" s="397"/>
      <c r="G75" s="125"/>
      <c r="H75" s="126"/>
      <c r="I75" s="563">
        <f>+I31+I36+I59+I72</f>
        <v>337547132.71000004</v>
      </c>
      <c r="J75" s="273">
        <f>+J31+J36+J59+J72</f>
        <v>365682384.91949999</v>
      </c>
      <c r="K75" s="562">
        <f>+K31+K36+K59+K72</f>
        <v>703229517.62949991</v>
      </c>
      <c r="L75" s="273">
        <f>+L4</f>
        <v>20000000</v>
      </c>
      <c r="M75" s="596">
        <f>+M31+M36+M59+M72</f>
        <v>35161475.881474987</v>
      </c>
      <c r="N75" s="273">
        <f>+N4</f>
        <v>50000000</v>
      </c>
      <c r="O75" s="273">
        <f t="shared" ref="O75:T75" si="10">+O4</f>
        <v>20000000</v>
      </c>
      <c r="P75" s="273">
        <f t="shared" si="10"/>
        <v>1500000</v>
      </c>
      <c r="Q75" s="273">
        <f t="shared" si="10"/>
        <v>500000</v>
      </c>
      <c r="R75" s="273">
        <f t="shared" si="10"/>
        <v>500000</v>
      </c>
      <c r="S75" s="273">
        <f t="shared" si="10"/>
        <v>0</v>
      </c>
      <c r="T75" s="273">
        <f t="shared" si="10"/>
        <v>0</v>
      </c>
    </row>
    <row r="76" spans="2:20" s="91" customFormat="1" ht="11.25" x14ac:dyDescent="0.2">
      <c r="B76" s="99"/>
      <c r="C76" s="9"/>
      <c r="D76" s="9"/>
      <c r="E76" s="100"/>
      <c r="F76" s="9"/>
      <c r="G76" s="99"/>
      <c r="H76" s="9"/>
      <c r="J76" s="90"/>
      <c r="K76" s="90"/>
      <c r="N76" s="171" t="s">
        <v>487</v>
      </c>
      <c r="O76" s="171" t="s">
        <v>487</v>
      </c>
      <c r="P76" s="171" t="s">
        <v>487</v>
      </c>
      <c r="Q76" s="171" t="s">
        <v>487</v>
      </c>
      <c r="R76" s="171" t="s">
        <v>487</v>
      </c>
      <c r="S76" s="171" t="s">
        <v>487</v>
      </c>
      <c r="T76" s="171" t="s">
        <v>487</v>
      </c>
    </row>
    <row r="77" spans="2:20" x14ac:dyDescent="0.25">
      <c r="I77" s="150" t="s">
        <v>474</v>
      </c>
      <c r="J77" s="150" t="s">
        <v>475</v>
      </c>
      <c r="K77" s="150" t="s">
        <v>476</v>
      </c>
      <c r="L77" s="151" t="s">
        <v>628</v>
      </c>
      <c r="M77" s="151" t="s">
        <v>478</v>
      </c>
      <c r="N77" s="152" t="s">
        <v>479</v>
      </c>
      <c r="O77" s="152" t="s">
        <v>480</v>
      </c>
      <c r="P77" s="152" t="s">
        <v>481</v>
      </c>
      <c r="Q77" s="152" t="s">
        <v>482</v>
      </c>
      <c r="R77" s="152" t="s">
        <v>483</v>
      </c>
      <c r="S77" s="152" t="s">
        <v>627</v>
      </c>
      <c r="T77" s="152" t="s">
        <v>485</v>
      </c>
    </row>
    <row r="78" spans="2:20" x14ac:dyDescent="0.25">
      <c r="Q78" s="152"/>
      <c r="R78" s="152"/>
    </row>
    <row r="196" spans="2:20" ht="14.25" customHeight="1" x14ac:dyDescent="0.25">
      <c r="B196" s="50">
        <v>9</v>
      </c>
      <c r="C196" s="57" t="s">
        <v>486</v>
      </c>
      <c r="D196" s="51" t="s">
        <v>28</v>
      </c>
      <c r="E196" s="95" t="s">
        <v>643</v>
      </c>
      <c r="F196" s="95" t="s">
        <v>652</v>
      </c>
      <c r="G196" s="98"/>
      <c r="H196" s="95" t="s">
        <v>5</v>
      </c>
      <c r="I196" s="96"/>
      <c r="J196" s="513">
        <v>0</v>
      </c>
      <c r="K196" s="149">
        <f>+I196+J196</f>
        <v>0</v>
      </c>
      <c r="L196" s="79" t="s">
        <v>124</v>
      </c>
      <c r="M196" s="85">
        <f>(I196+J196)*5%</f>
        <v>0</v>
      </c>
      <c r="N196" s="76" t="s">
        <v>124</v>
      </c>
      <c r="O196" s="76" t="s">
        <v>124</v>
      </c>
      <c r="P196" s="76" t="s">
        <v>124</v>
      </c>
      <c r="Q196" s="76" t="s">
        <v>124</v>
      </c>
      <c r="R196" s="76" t="s">
        <v>124</v>
      </c>
      <c r="S196" s="83"/>
      <c r="T196" s="83"/>
    </row>
  </sheetData>
  <mergeCells count="1">
    <mergeCell ref="B1:T1"/>
  </mergeCells>
  <phoneticPr fontId="42" type="noConversion"/>
  <conditionalFormatting sqref="I6:J30 I196:J196 L6:T30 L196:T196 I39:T58">
    <cfRule type="cellIs" dxfId="11" priority="3" operator="equal">
      <formula>0</formula>
    </cfRule>
  </conditionalFormatting>
  <conditionalFormatting sqref="I34:T34 J35:T35">
    <cfRule type="cellIs" dxfId="10" priority="2" operator="equal">
      <formula>0</formula>
    </cfRule>
  </conditionalFormatting>
  <conditionalFormatting sqref="I62:J71 L62:T71">
    <cfRule type="cellIs" dxfId="9" priority="1" operator="equal">
      <formula>0</formula>
    </cfRule>
  </conditionalFormatting>
  <printOptions horizontalCentered="1"/>
  <pageMargins left="3.937007874015748E-2" right="3.937007874015748E-2" top="0.15748031496062992" bottom="0.15748031496062992" header="0.31496062992125984" footer="0.31496062992125984"/>
  <pageSetup paperSize="119" scale="75" orientation="landscape" r:id="rId1"/>
  <customProperties>
    <customPr name="LastActive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7030A0"/>
  </sheetPr>
  <dimension ref="B1:T41"/>
  <sheetViews>
    <sheetView showGridLines="0" zoomScale="120" zoomScaleNormal="120" workbookViewId="0">
      <pane ySplit="3" topLeftCell="A4" activePane="bottomLeft" state="frozen"/>
      <selection pane="bottomLeft" activeCell="F6" sqref="F6"/>
    </sheetView>
  </sheetViews>
  <sheetFormatPr baseColWidth="10" defaultColWidth="11.42578125" defaultRowHeight="12.75" x14ac:dyDescent="0.25"/>
  <cols>
    <col min="1" max="1" width="2.85546875" style="44" customWidth="1"/>
    <col min="2" max="2" width="3.5703125" style="41" bestFit="1" customWidth="1"/>
    <col min="3" max="3" width="20" style="42" customWidth="1"/>
    <col min="4" max="4" width="18.85546875" style="42" customWidth="1"/>
    <col min="5" max="5" width="61" style="43" customWidth="1"/>
    <col min="6" max="6" width="51.7109375" style="42" customWidth="1"/>
    <col min="7" max="7" width="9.28515625" style="41" customWidth="1"/>
    <col min="8" max="8" width="28.42578125" style="42" bestFit="1" customWidth="1"/>
    <col min="9" max="9" width="17.140625" style="44" customWidth="1"/>
    <col min="10" max="11" width="17.140625" style="45" customWidth="1"/>
    <col min="12" max="21" width="17.140625" style="44" customWidth="1"/>
    <col min="22" max="16384" width="11.42578125" style="44"/>
  </cols>
  <sheetData>
    <row r="1" spans="2:20" ht="27.75" customHeight="1" x14ac:dyDescent="0.25">
      <c r="C1" s="172" t="s">
        <v>591</v>
      </c>
      <c r="D1" s="172" t="s">
        <v>539</v>
      </c>
    </row>
    <row r="2" spans="2:20" ht="27.75" customHeight="1" x14ac:dyDescent="0.25">
      <c r="C2" s="407" t="s">
        <v>625</v>
      </c>
      <c r="D2" s="172"/>
    </row>
    <row r="3" spans="2:20" s="1" customFormat="1" ht="45" customHeight="1" thickBot="1" x14ac:dyDescent="0.3">
      <c r="B3" s="342" t="s">
        <v>198</v>
      </c>
      <c r="C3" s="342" t="s">
        <v>36</v>
      </c>
      <c r="D3" s="342" t="s">
        <v>53</v>
      </c>
      <c r="E3" s="342" t="s">
        <v>37</v>
      </c>
      <c r="F3" s="342" t="s">
        <v>38</v>
      </c>
      <c r="G3" s="342" t="s">
        <v>95</v>
      </c>
      <c r="H3" s="342" t="s">
        <v>39</v>
      </c>
      <c r="I3" s="336" t="s">
        <v>581</v>
      </c>
      <c r="J3" s="337" t="s">
        <v>114</v>
      </c>
      <c r="K3" s="337" t="s">
        <v>488</v>
      </c>
      <c r="L3" s="338" t="s">
        <v>518</v>
      </c>
      <c r="M3" s="338" t="s">
        <v>527</v>
      </c>
      <c r="N3" s="339" t="s">
        <v>528</v>
      </c>
      <c r="O3" s="339" t="s">
        <v>524</v>
      </c>
      <c r="P3" s="339" t="s">
        <v>529</v>
      </c>
      <c r="Q3" s="339" t="s">
        <v>530</v>
      </c>
      <c r="R3" s="339" t="s">
        <v>483</v>
      </c>
      <c r="S3" s="340" t="s">
        <v>531</v>
      </c>
      <c r="T3" s="341" t="s">
        <v>532</v>
      </c>
    </row>
    <row r="4" spans="2:20" s="307" customFormat="1" ht="24.75" customHeight="1" thickBot="1" x14ac:dyDescent="0.3">
      <c r="B4" s="308"/>
      <c r="C4" s="376" t="s">
        <v>590</v>
      </c>
      <c r="D4" s="376"/>
      <c r="E4" s="308"/>
      <c r="F4" s="310" t="s">
        <v>521</v>
      </c>
      <c r="G4" s="309"/>
      <c r="H4" s="310"/>
      <c r="I4" s="311"/>
      <c r="J4" s="312"/>
      <c r="K4" s="313"/>
      <c r="L4" s="315">
        <v>20000000</v>
      </c>
      <c r="M4" s="316">
        <f>(I4+J4)*5%</f>
        <v>0</v>
      </c>
      <c r="N4" s="317">
        <v>50000000</v>
      </c>
      <c r="O4" s="318">
        <v>20000000</v>
      </c>
      <c r="P4" s="315">
        <v>1500000</v>
      </c>
      <c r="Q4" s="315">
        <v>500000</v>
      </c>
      <c r="R4" s="315">
        <v>500000</v>
      </c>
      <c r="S4" s="315"/>
      <c r="T4" s="315"/>
    </row>
    <row r="5" spans="2:20" ht="15.75" x14ac:dyDescent="0.25">
      <c r="E5" s="377" t="s">
        <v>470</v>
      </c>
      <c r="I5" s="94"/>
      <c r="K5" s="148"/>
      <c r="Q5" s="152"/>
      <c r="R5" s="152"/>
    </row>
    <row r="6" spans="2:20" x14ac:dyDescent="0.25">
      <c r="B6" s="50">
        <v>1</v>
      </c>
      <c r="C6" s="57" t="s">
        <v>486</v>
      </c>
      <c r="D6" s="51" t="s">
        <v>28</v>
      </c>
      <c r="E6" s="95" t="s">
        <v>143</v>
      </c>
      <c r="F6" s="95" t="s">
        <v>144</v>
      </c>
      <c r="G6" s="50"/>
      <c r="H6" s="95" t="s">
        <v>5</v>
      </c>
      <c r="I6" s="96"/>
      <c r="J6" s="97">
        <v>873240</v>
      </c>
      <c r="K6" s="149">
        <f>+I6+J6</f>
        <v>873240</v>
      </c>
      <c r="L6" s="79" t="s">
        <v>124</v>
      </c>
      <c r="M6" s="85">
        <f t="shared" ref="M6:M21" si="0">(I6+J6)*5%</f>
        <v>43662</v>
      </c>
      <c r="N6" s="76" t="s">
        <v>124</v>
      </c>
      <c r="O6" s="76" t="s">
        <v>124</v>
      </c>
      <c r="P6" s="76" t="s">
        <v>124</v>
      </c>
      <c r="Q6" s="76" t="s">
        <v>124</v>
      </c>
      <c r="R6" s="76" t="s">
        <v>124</v>
      </c>
      <c r="S6" s="83"/>
      <c r="T6" s="83"/>
    </row>
    <row r="7" spans="2:20" x14ac:dyDescent="0.25">
      <c r="B7" s="50">
        <v>2</v>
      </c>
      <c r="C7" s="57" t="s">
        <v>486</v>
      </c>
      <c r="D7" s="51" t="s">
        <v>28</v>
      </c>
      <c r="E7" s="95" t="s">
        <v>145</v>
      </c>
      <c r="F7" s="95" t="s">
        <v>146</v>
      </c>
      <c r="G7" s="98"/>
      <c r="H7" s="95" t="s">
        <v>5</v>
      </c>
      <c r="I7" s="96"/>
      <c r="J7" s="97">
        <v>1020040</v>
      </c>
      <c r="K7" s="149">
        <f t="shared" ref="K7:K21" si="1">+I7+J7</f>
        <v>1020040</v>
      </c>
      <c r="L7" s="79" t="s">
        <v>124</v>
      </c>
      <c r="M7" s="85">
        <f t="shared" si="0"/>
        <v>51002</v>
      </c>
      <c r="N7" s="76" t="s">
        <v>124</v>
      </c>
      <c r="O7" s="76" t="s">
        <v>124</v>
      </c>
      <c r="P7" s="76" t="s">
        <v>124</v>
      </c>
      <c r="Q7" s="76" t="s">
        <v>124</v>
      </c>
      <c r="R7" s="76" t="s">
        <v>124</v>
      </c>
      <c r="S7" s="83"/>
      <c r="T7" s="83"/>
    </row>
    <row r="8" spans="2:20" x14ac:dyDescent="0.25">
      <c r="B8" s="50">
        <v>3</v>
      </c>
      <c r="C8" s="57" t="s">
        <v>486</v>
      </c>
      <c r="D8" s="51" t="s">
        <v>28</v>
      </c>
      <c r="E8" s="95" t="s">
        <v>147</v>
      </c>
      <c r="F8" s="95" t="s">
        <v>148</v>
      </c>
      <c r="G8" s="98"/>
      <c r="H8" s="95" t="s">
        <v>130</v>
      </c>
      <c r="I8" s="96"/>
      <c r="J8" s="97">
        <v>1901980</v>
      </c>
      <c r="K8" s="149">
        <f t="shared" si="1"/>
        <v>1901980</v>
      </c>
      <c r="L8" s="79" t="s">
        <v>124</v>
      </c>
      <c r="M8" s="85">
        <f t="shared" si="0"/>
        <v>95099</v>
      </c>
      <c r="N8" s="76" t="s">
        <v>124</v>
      </c>
      <c r="O8" s="76" t="s">
        <v>124</v>
      </c>
      <c r="P8" s="76" t="s">
        <v>124</v>
      </c>
      <c r="Q8" s="76" t="s">
        <v>124</v>
      </c>
      <c r="R8" s="76" t="s">
        <v>124</v>
      </c>
      <c r="S8" s="83"/>
      <c r="T8" s="83"/>
    </row>
    <row r="9" spans="2:20" x14ac:dyDescent="0.25">
      <c r="B9" s="50">
        <v>4</v>
      </c>
      <c r="C9" s="57" t="s">
        <v>486</v>
      </c>
      <c r="D9" s="51" t="s">
        <v>28</v>
      </c>
      <c r="E9" s="95" t="s">
        <v>149</v>
      </c>
      <c r="F9" s="95" t="s">
        <v>150</v>
      </c>
      <c r="G9" s="98"/>
      <c r="H9" s="95" t="s">
        <v>5</v>
      </c>
      <c r="I9" s="96"/>
      <c r="J9" s="97">
        <v>2000000</v>
      </c>
      <c r="K9" s="149">
        <f t="shared" si="1"/>
        <v>2000000</v>
      </c>
      <c r="L9" s="79" t="s">
        <v>124</v>
      </c>
      <c r="M9" s="85">
        <f t="shared" si="0"/>
        <v>100000</v>
      </c>
      <c r="N9" s="76" t="s">
        <v>124</v>
      </c>
      <c r="O9" s="76" t="s">
        <v>124</v>
      </c>
      <c r="P9" s="76" t="s">
        <v>124</v>
      </c>
      <c r="Q9" s="76" t="s">
        <v>124</v>
      </c>
      <c r="R9" s="76" t="s">
        <v>124</v>
      </c>
      <c r="S9" s="83"/>
      <c r="T9" s="83"/>
    </row>
    <row r="10" spans="2:20" x14ac:dyDescent="0.25">
      <c r="B10" s="50">
        <v>5</v>
      </c>
      <c r="C10" s="57" t="s">
        <v>486</v>
      </c>
      <c r="D10" s="51" t="s">
        <v>28</v>
      </c>
      <c r="E10" s="95" t="s">
        <v>151</v>
      </c>
      <c r="F10" s="95" t="s">
        <v>152</v>
      </c>
      <c r="G10" s="98"/>
      <c r="H10" s="95" t="s">
        <v>5</v>
      </c>
      <c r="I10" s="96"/>
      <c r="J10" s="97">
        <v>2260000</v>
      </c>
      <c r="K10" s="149">
        <f t="shared" si="1"/>
        <v>2260000</v>
      </c>
      <c r="L10" s="79" t="s">
        <v>124</v>
      </c>
      <c r="M10" s="85">
        <f t="shared" si="0"/>
        <v>113000</v>
      </c>
      <c r="N10" s="76" t="s">
        <v>124</v>
      </c>
      <c r="O10" s="76" t="s">
        <v>124</v>
      </c>
      <c r="P10" s="76" t="s">
        <v>124</v>
      </c>
      <c r="Q10" s="76" t="s">
        <v>124</v>
      </c>
      <c r="R10" s="76" t="s">
        <v>124</v>
      </c>
      <c r="S10" s="83"/>
      <c r="T10" s="83"/>
    </row>
    <row r="11" spans="2:20" x14ac:dyDescent="0.25">
      <c r="B11" s="50">
        <v>6</v>
      </c>
      <c r="C11" s="57" t="s">
        <v>486</v>
      </c>
      <c r="D11" s="51" t="s">
        <v>28</v>
      </c>
      <c r="E11" s="95" t="s">
        <v>153</v>
      </c>
      <c r="F11" s="95" t="s">
        <v>154</v>
      </c>
      <c r="G11" s="98"/>
      <c r="H11" s="95" t="s">
        <v>5</v>
      </c>
      <c r="I11" s="96"/>
      <c r="J11" s="97">
        <v>480880</v>
      </c>
      <c r="K11" s="149">
        <f t="shared" si="1"/>
        <v>480880</v>
      </c>
      <c r="L11" s="79" t="s">
        <v>124</v>
      </c>
      <c r="M11" s="85">
        <f t="shared" si="0"/>
        <v>24044</v>
      </c>
      <c r="N11" s="76" t="s">
        <v>124</v>
      </c>
      <c r="O11" s="76" t="s">
        <v>124</v>
      </c>
      <c r="P11" s="76" t="s">
        <v>124</v>
      </c>
      <c r="Q11" s="76" t="s">
        <v>124</v>
      </c>
      <c r="R11" s="76" t="s">
        <v>124</v>
      </c>
      <c r="S11" s="83"/>
      <c r="T11" s="83"/>
    </row>
    <row r="12" spans="2:20" x14ac:dyDescent="0.25">
      <c r="B12" s="50">
        <v>7</v>
      </c>
      <c r="C12" s="57" t="s">
        <v>486</v>
      </c>
      <c r="D12" s="51" t="s">
        <v>28</v>
      </c>
      <c r="E12" s="95" t="s">
        <v>155</v>
      </c>
      <c r="F12" s="95" t="s">
        <v>156</v>
      </c>
      <c r="G12" s="98"/>
      <c r="H12" s="95" t="s">
        <v>5</v>
      </c>
      <c r="I12" s="96"/>
      <c r="J12" s="97">
        <v>23896560</v>
      </c>
      <c r="K12" s="149">
        <f t="shared" si="1"/>
        <v>23896560</v>
      </c>
      <c r="L12" s="79" t="s">
        <v>124</v>
      </c>
      <c r="M12" s="85">
        <f t="shared" si="0"/>
        <v>1194828</v>
      </c>
      <c r="N12" s="76" t="s">
        <v>124</v>
      </c>
      <c r="O12" s="76" t="s">
        <v>124</v>
      </c>
      <c r="P12" s="76" t="s">
        <v>124</v>
      </c>
      <c r="Q12" s="76" t="s">
        <v>124</v>
      </c>
      <c r="R12" s="76" t="s">
        <v>124</v>
      </c>
      <c r="S12" s="83"/>
      <c r="T12" s="83"/>
    </row>
    <row r="13" spans="2:20" x14ac:dyDescent="0.25">
      <c r="B13" s="50">
        <v>8</v>
      </c>
      <c r="C13" s="57" t="s">
        <v>486</v>
      </c>
      <c r="D13" s="51" t="s">
        <v>28</v>
      </c>
      <c r="E13" s="95" t="s">
        <v>157</v>
      </c>
      <c r="F13" s="95" t="s">
        <v>158</v>
      </c>
      <c r="G13" s="98"/>
      <c r="H13" s="95" t="s">
        <v>5</v>
      </c>
      <c r="I13" s="96"/>
      <c r="J13" s="97">
        <v>2160000</v>
      </c>
      <c r="K13" s="149">
        <f t="shared" si="1"/>
        <v>2160000</v>
      </c>
      <c r="L13" s="79" t="s">
        <v>124</v>
      </c>
      <c r="M13" s="85">
        <f t="shared" si="0"/>
        <v>108000</v>
      </c>
      <c r="N13" s="76" t="s">
        <v>124</v>
      </c>
      <c r="O13" s="76" t="s">
        <v>124</v>
      </c>
      <c r="P13" s="76" t="s">
        <v>124</v>
      </c>
      <c r="Q13" s="76" t="s">
        <v>124</v>
      </c>
      <c r="R13" s="76" t="s">
        <v>124</v>
      </c>
      <c r="S13" s="83"/>
      <c r="T13" s="83"/>
    </row>
    <row r="14" spans="2:20" x14ac:dyDescent="0.25">
      <c r="B14" s="50">
        <v>9</v>
      </c>
      <c r="C14" s="57" t="s">
        <v>486</v>
      </c>
      <c r="D14" s="51" t="s">
        <v>28</v>
      </c>
      <c r="E14" s="95" t="s">
        <v>159</v>
      </c>
      <c r="F14" s="95" t="s">
        <v>160</v>
      </c>
      <c r="G14" s="98"/>
      <c r="H14" s="95" t="s">
        <v>5</v>
      </c>
      <c r="I14" s="96"/>
      <c r="J14" s="97">
        <v>974000</v>
      </c>
      <c r="K14" s="149">
        <f t="shared" si="1"/>
        <v>974000</v>
      </c>
      <c r="L14" s="79" t="s">
        <v>124</v>
      </c>
      <c r="M14" s="85">
        <f t="shared" si="0"/>
        <v>48700</v>
      </c>
      <c r="N14" s="76" t="s">
        <v>124</v>
      </c>
      <c r="O14" s="76" t="s">
        <v>124</v>
      </c>
      <c r="P14" s="76" t="s">
        <v>124</v>
      </c>
      <c r="Q14" s="76" t="s">
        <v>124</v>
      </c>
      <c r="R14" s="76" t="s">
        <v>124</v>
      </c>
      <c r="S14" s="83"/>
      <c r="T14" s="83"/>
    </row>
    <row r="15" spans="2:20" x14ac:dyDescent="0.25">
      <c r="B15" s="50">
        <v>10</v>
      </c>
      <c r="C15" s="57" t="s">
        <v>486</v>
      </c>
      <c r="D15" s="51" t="s">
        <v>28</v>
      </c>
      <c r="E15" s="95" t="s">
        <v>161</v>
      </c>
      <c r="F15" s="95" t="s">
        <v>162</v>
      </c>
      <c r="G15" s="98"/>
      <c r="H15" s="95" t="s">
        <v>2</v>
      </c>
      <c r="I15" s="96"/>
      <c r="J15" s="97">
        <v>314420</v>
      </c>
      <c r="K15" s="149">
        <f t="shared" si="1"/>
        <v>314420</v>
      </c>
      <c r="L15" s="79" t="s">
        <v>124</v>
      </c>
      <c r="M15" s="85">
        <f t="shared" si="0"/>
        <v>15721</v>
      </c>
      <c r="N15" s="76" t="s">
        <v>124</v>
      </c>
      <c r="O15" s="76" t="s">
        <v>124</v>
      </c>
      <c r="P15" s="76" t="s">
        <v>124</v>
      </c>
      <c r="Q15" s="76" t="s">
        <v>124</v>
      </c>
      <c r="R15" s="76" t="s">
        <v>124</v>
      </c>
      <c r="S15" s="83"/>
      <c r="T15" s="83"/>
    </row>
    <row r="16" spans="2:20" x14ac:dyDescent="0.25">
      <c r="B16" s="50">
        <v>11</v>
      </c>
      <c r="C16" s="57" t="s">
        <v>486</v>
      </c>
      <c r="D16" s="51" t="s">
        <v>28</v>
      </c>
      <c r="E16" s="95" t="s">
        <v>163</v>
      </c>
      <c r="F16" s="95" t="s">
        <v>164</v>
      </c>
      <c r="G16" s="98"/>
      <c r="H16" s="95" t="s">
        <v>2</v>
      </c>
      <c r="I16" s="96"/>
      <c r="J16" s="97">
        <v>1926220</v>
      </c>
      <c r="K16" s="149">
        <f t="shared" si="1"/>
        <v>1926220</v>
      </c>
      <c r="L16" s="79" t="s">
        <v>124</v>
      </c>
      <c r="M16" s="85">
        <f t="shared" si="0"/>
        <v>96311</v>
      </c>
      <c r="N16" s="76" t="s">
        <v>124</v>
      </c>
      <c r="O16" s="76" t="s">
        <v>124</v>
      </c>
      <c r="P16" s="76" t="s">
        <v>124</v>
      </c>
      <c r="Q16" s="76" t="s">
        <v>124</v>
      </c>
      <c r="R16" s="76" t="s">
        <v>124</v>
      </c>
      <c r="S16" s="83"/>
      <c r="T16" s="83"/>
    </row>
    <row r="17" spans="2:20" x14ac:dyDescent="0.25">
      <c r="B17" s="50">
        <v>12</v>
      </c>
      <c r="C17" s="57" t="s">
        <v>486</v>
      </c>
      <c r="D17" s="51" t="s">
        <v>28</v>
      </c>
      <c r="E17" s="95" t="s">
        <v>165</v>
      </c>
      <c r="F17" s="95" t="s">
        <v>166</v>
      </c>
      <c r="G17" s="98"/>
      <c r="H17" s="95" t="s">
        <v>175</v>
      </c>
      <c r="I17" s="96"/>
      <c r="J17" s="97">
        <v>184220</v>
      </c>
      <c r="K17" s="149">
        <f t="shared" si="1"/>
        <v>184220</v>
      </c>
      <c r="L17" s="79" t="s">
        <v>124</v>
      </c>
      <c r="M17" s="85">
        <f t="shared" si="0"/>
        <v>9211</v>
      </c>
      <c r="N17" s="76" t="s">
        <v>124</v>
      </c>
      <c r="O17" s="76" t="s">
        <v>124</v>
      </c>
      <c r="P17" s="76" t="s">
        <v>124</v>
      </c>
      <c r="Q17" s="76" t="s">
        <v>124</v>
      </c>
      <c r="R17" s="76" t="s">
        <v>124</v>
      </c>
      <c r="S17" s="83"/>
      <c r="T17" s="83"/>
    </row>
    <row r="18" spans="2:20" x14ac:dyDescent="0.25">
      <c r="B18" s="50">
        <v>13</v>
      </c>
      <c r="C18" s="57" t="s">
        <v>486</v>
      </c>
      <c r="D18" s="51" t="s">
        <v>28</v>
      </c>
      <c r="E18" s="95" t="s">
        <v>167</v>
      </c>
      <c r="F18" s="95" t="s">
        <v>168</v>
      </c>
      <c r="G18" s="98"/>
      <c r="H18" s="95" t="s">
        <v>101</v>
      </c>
      <c r="I18" s="96"/>
      <c r="J18" s="97">
        <v>358360</v>
      </c>
      <c r="K18" s="149">
        <f t="shared" si="1"/>
        <v>358360</v>
      </c>
      <c r="L18" s="79" t="s">
        <v>124</v>
      </c>
      <c r="M18" s="85">
        <f t="shared" si="0"/>
        <v>17918</v>
      </c>
      <c r="N18" s="76" t="s">
        <v>124</v>
      </c>
      <c r="O18" s="76" t="s">
        <v>124</v>
      </c>
      <c r="P18" s="76" t="s">
        <v>124</v>
      </c>
      <c r="Q18" s="76" t="s">
        <v>124</v>
      </c>
      <c r="R18" s="76" t="s">
        <v>124</v>
      </c>
      <c r="S18" s="83"/>
      <c r="T18" s="83"/>
    </row>
    <row r="19" spans="2:20" x14ac:dyDescent="0.25">
      <c r="B19" s="50">
        <v>14</v>
      </c>
      <c r="C19" s="57" t="s">
        <v>486</v>
      </c>
      <c r="D19" s="51" t="s">
        <v>28</v>
      </c>
      <c r="E19" s="95" t="s">
        <v>169</v>
      </c>
      <c r="F19" s="95" t="s">
        <v>170</v>
      </c>
      <c r="G19" s="98"/>
      <c r="H19" s="95" t="s">
        <v>101</v>
      </c>
      <c r="I19" s="96"/>
      <c r="J19" s="97">
        <v>9522000</v>
      </c>
      <c r="K19" s="149">
        <f t="shared" si="1"/>
        <v>9522000</v>
      </c>
      <c r="L19" s="79" t="s">
        <v>124</v>
      </c>
      <c r="M19" s="85">
        <f t="shared" si="0"/>
        <v>476100</v>
      </c>
      <c r="N19" s="76" t="s">
        <v>124</v>
      </c>
      <c r="O19" s="76" t="s">
        <v>124</v>
      </c>
      <c r="P19" s="76" t="s">
        <v>124</v>
      </c>
      <c r="Q19" s="76" t="s">
        <v>124</v>
      </c>
      <c r="R19" s="76" t="s">
        <v>124</v>
      </c>
      <c r="S19" s="83"/>
      <c r="T19" s="83"/>
    </row>
    <row r="20" spans="2:20" x14ac:dyDescent="0.25">
      <c r="B20" s="50">
        <v>15</v>
      </c>
      <c r="C20" s="57" t="s">
        <v>486</v>
      </c>
      <c r="D20" s="51" t="s">
        <v>28</v>
      </c>
      <c r="E20" s="95" t="s">
        <v>171</v>
      </c>
      <c r="F20" s="95" t="s">
        <v>172</v>
      </c>
      <c r="G20" s="98"/>
      <c r="H20" s="95" t="s">
        <v>101</v>
      </c>
      <c r="I20" s="96"/>
      <c r="J20" s="97">
        <v>504000</v>
      </c>
      <c r="K20" s="149">
        <f t="shared" si="1"/>
        <v>504000</v>
      </c>
      <c r="L20" s="79" t="s">
        <v>124</v>
      </c>
      <c r="M20" s="85">
        <f t="shared" si="0"/>
        <v>25200</v>
      </c>
      <c r="N20" s="76" t="s">
        <v>124</v>
      </c>
      <c r="O20" s="76" t="s">
        <v>124</v>
      </c>
      <c r="P20" s="76" t="s">
        <v>124</v>
      </c>
      <c r="Q20" s="76" t="s">
        <v>124</v>
      </c>
      <c r="R20" s="76" t="s">
        <v>124</v>
      </c>
      <c r="S20" s="83"/>
      <c r="T20" s="83"/>
    </row>
    <row r="21" spans="2:20" x14ac:dyDescent="0.25">
      <c r="B21" s="50">
        <v>16</v>
      </c>
      <c r="C21" s="57" t="s">
        <v>486</v>
      </c>
      <c r="D21" s="51" t="s">
        <v>28</v>
      </c>
      <c r="E21" s="95" t="s">
        <v>173</v>
      </c>
      <c r="F21" s="95" t="s">
        <v>174</v>
      </c>
      <c r="G21" s="98"/>
      <c r="H21" s="95" t="s">
        <v>101</v>
      </c>
      <c r="I21" s="96"/>
      <c r="J21" s="97">
        <v>400000</v>
      </c>
      <c r="K21" s="149">
        <f t="shared" si="1"/>
        <v>400000</v>
      </c>
      <c r="L21" s="79" t="s">
        <v>124</v>
      </c>
      <c r="M21" s="85">
        <f t="shared" si="0"/>
        <v>20000</v>
      </c>
      <c r="N21" s="76" t="s">
        <v>124</v>
      </c>
      <c r="O21" s="76" t="s">
        <v>124</v>
      </c>
      <c r="P21" s="76" t="s">
        <v>124</v>
      </c>
      <c r="Q21" s="76" t="s">
        <v>124</v>
      </c>
      <c r="R21" s="76" t="s">
        <v>124</v>
      </c>
      <c r="S21" s="83"/>
      <c r="T21" s="83"/>
    </row>
    <row r="22" spans="2:20" s="269" customFormat="1" ht="24.75" customHeight="1" x14ac:dyDescent="0.25">
      <c r="B22" s="191"/>
      <c r="C22" s="329"/>
      <c r="D22" s="329"/>
      <c r="E22" s="329"/>
      <c r="F22" s="324" t="s">
        <v>193</v>
      </c>
      <c r="G22" s="328"/>
      <c r="H22" s="329"/>
      <c r="I22" s="326">
        <f t="shared" ref="I22:T22" si="2">SUM(I6:I21)</f>
        <v>0</v>
      </c>
      <c r="J22" s="326">
        <f t="shared" si="2"/>
        <v>48775920</v>
      </c>
      <c r="K22" s="326">
        <f t="shared" si="2"/>
        <v>48775920</v>
      </c>
      <c r="L22" s="326">
        <f t="shared" si="2"/>
        <v>0</v>
      </c>
      <c r="M22" s="326">
        <f t="shared" si="2"/>
        <v>2438796</v>
      </c>
      <c r="N22" s="326">
        <f t="shared" si="2"/>
        <v>0</v>
      </c>
      <c r="O22" s="326">
        <f t="shared" si="2"/>
        <v>0</v>
      </c>
      <c r="P22" s="326">
        <f t="shared" si="2"/>
        <v>0</v>
      </c>
      <c r="Q22" s="327">
        <f t="shared" si="2"/>
        <v>0</v>
      </c>
      <c r="R22" s="327">
        <f t="shared" si="2"/>
        <v>0</v>
      </c>
      <c r="S22" s="326">
        <f t="shared" si="2"/>
        <v>0</v>
      </c>
      <c r="T22" s="326">
        <f t="shared" si="2"/>
        <v>0</v>
      </c>
    </row>
    <row r="23" spans="2:20" s="91" customFormat="1" ht="12" customHeight="1" x14ac:dyDescent="0.2">
      <c r="B23" s="99"/>
      <c r="C23" s="9"/>
      <c r="D23" s="9"/>
      <c r="E23" s="100"/>
      <c r="F23" s="9"/>
      <c r="G23" s="99"/>
      <c r="H23" s="9"/>
      <c r="I23" s="101"/>
      <c r="J23" s="90"/>
      <c r="K23" s="90"/>
      <c r="Q23" s="169"/>
      <c r="R23" s="169"/>
    </row>
    <row r="24" spans="2:20" s="91" customFormat="1" ht="15.75" x14ac:dyDescent="0.2">
      <c r="B24" s="99"/>
      <c r="C24" s="9"/>
      <c r="D24" s="9"/>
      <c r="E24" s="377" t="s">
        <v>471</v>
      </c>
      <c r="F24" s="9"/>
      <c r="G24" s="99"/>
      <c r="H24" s="9"/>
      <c r="J24" s="90"/>
      <c r="K24" s="110"/>
      <c r="Q24" s="169"/>
      <c r="R24" s="169"/>
    </row>
    <row r="25" spans="2:20" s="91" customFormat="1" ht="11.25" x14ac:dyDescent="0.2">
      <c r="B25" s="50">
        <v>1</v>
      </c>
      <c r="C25" s="57" t="s">
        <v>178</v>
      </c>
      <c r="D25" s="66" t="s">
        <v>28</v>
      </c>
      <c r="E25" s="102" t="s">
        <v>176</v>
      </c>
      <c r="F25" s="95" t="s">
        <v>177</v>
      </c>
      <c r="G25" s="103"/>
      <c r="H25" s="102" t="s">
        <v>101</v>
      </c>
      <c r="I25" s="53">
        <v>2706805.6</v>
      </c>
      <c r="J25" s="97">
        <v>73709.009999999995</v>
      </c>
      <c r="K25" s="10">
        <f>+I25+J25</f>
        <v>2780514.61</v>
      </c>
      <c r="L25" s="79" t="s">
        <v>124</v>
      </c>
      <c r="M25" s="85">
        <f>(I25+J25)*5%</f>
        <v>139025.73050000001</v>
      </c>
      <c r="N25" s="76" t="s">
        <v>124</v>
      </c>
      <c r="O25" s="76" t="s">
        <v>124</v>
      </c>
      <c r="P25" s="76" t="s">
        <v>124</v>
      </c>
      <c r="Q25" s="76" t="s">
        <v>124</v>
      </c>
      <c r="R25" s="76" t="s">
        <v>124</v>
      </c>
      <c r="S25" s="83"/>
      <c r="T25" s="83"/>
    </row>
    <row r="26" spans="2:20" s="190" customFormat="1" ht="21.75" customHeight="1" x14ac:dyDescent="0.25">
      <c r="B26" s="325"/>
      <c r="C26" s="323"/>
      <c r="D26" s="323"/>
      <c r="E26" s="323"/>
      <c r="F26" s="324" t="s">
        <v>194</v>
      </c>
      <c r="G26" s="325"/>
      <c r="H26" s="323"/>
      <c r="I26" s="326">
        <f>SUM(I25)</f>
        <v>2706805.6</v>
      </c>
      <c r="J26" s="326">
        <f>SUM(J25)</f>
        <v>73709.009999999995</v>
      </c>
      <c r="K26" s="326"/>
      <c r="L26" s="326">
        <f t="shared" ref="L26:T26" si="3">SUM(L25)</f>
        <v>0</v>
      </c>
      <c r="M26" s="326">
        <f t="shared" si="3"/>
        <v>139025.73050000001</v>
      </c>
      <c r="N26" s="326">
        <f t="shared" si="3"/>
        <v>0</v>
      </c>
      <c r="O26" s="326">
        <f t="shared" si="3"/>
        <v>0</v>
      </c>
      <c r="P26" s="326">
        <f t="shared" si="3"/>
        <v>0</v>
      </c>
      <c r="Q26" s="327">
        <f t="shared" si="3"/>
        <v>0</v>
      </c>
      <c r="R26" s="327">
        <f t="shared" si="3"/>
        <v>0</v>
      </c>
      <c r="S26" s="326">
        <f t="shared" si="3"/>
        <v>0</v>
      </c>
      <c r="T26" s="326">
        <f t="shared" si="3"/>
        <v>0</v>
      </c>
    </row>
    <row r="27" spans="2:20" s="91" customFormat="1" ht="11.25" x14ac:dyDescent="0.2">
      <c r="B27" s="99"/>
      <c r="C27" s="9"/>
      <c r="D27" s="9"/>
      <c r="E27" s="100"/>
      <c r="F27" s="9"/>
      <c r="G27" s="99"/>
      <c r="H27" s="9"/>
      <c r="J27" s="90"/>
      <c r="K27" s="90"/>
      <c r="Q27" s="169"/>
      <c r="R27" s="169"/>
    </row>
    <row r="28" spans="2:20" s="91" customFormat="1" ht="15.75" x14ac:dyDescent="0.2">
      <c r="B28" s="99"/>
      <c r="C28" s="9"/>
      <c r="D28" s="9"/>
      <c r="E28" s="377" t="s">
        <v>472</v>
      </c>
      <c r="F28" s="9"/>
      <c r="G28" s="99"/>
      <c r="H28" s="9"/>
      <c r="J28" s="90"/>
      <c r="K28" s="90"/>
      <c r="Q28" s="169"/>
      <c r="R28" s="169"/>
    </row>
    <row r="29" spans="2:20" s="91" customFormat="1" ht="11.25" x14ac:dyDescent="0.2">
      <c r="B29" s="50">
        <v>1</v>
      </c>
      <c r="C29" s="51" t="s">
        <v>83</v>
      </c>
      <c r="D29" s="51" t="s">
        <v>28</v>
      </c>
      <c r="E29" s="66" t="s">
        <v>184</v>
      </c>
      <c r="F29" s="51" t="s">
        <v>179</v>
      </c>
      <c r="G29" s="50"/>
      <c r="H29" s="66" t="s">
        <v>35</v>
      </c>
      <c r="I29" s="104">
        <v>84000</v>
      </c>
      <c r="J29" s="54">
        <v>100291.92</v>
      </c>
      <c r="K29" s="54">
        <f>+I29+J29</f>
        <v>184291.91999999998</v>
      </c>
      <c r="L29" s="79" t="s">
        <v>124</v>
      </c>
      <c r="M29" s="85">
        <f>(I29+J29)*5%</f>
        <v>9214.5959999999995</v>
      </c>
      <c r="N29" s="79" t="s">
        <v>124</v>
      </c>
      <c r="O29" s="79" t="s">
        <v>124</v>
      </c>
      <c r="P29" s="79" t="s">
        <v>124</v>
      </c>
      <c r="Q29" s="79" t="s">
        <v>124</v>
      </c>
      <c r="R29" s="79" t="s">
        <v>124</v>
      </c>
      <c r="S29" s="83"/>
      <c r="T29" s="83"/>
    </row>
    <row r="30" spans="2:20" s="91" customFormat="1" ht="11.25" x14ac:dyDescent="0.2">
      <c r="B30" s="50">
        <v>2</v>
      </c>
      <c r="C30" s="51" t="s">
        <v>83</v>
      </c>
      <c r="D30" s="51" t="s">
        <v>28</v>
      </c>
      <c r="E30" s="66" t="s">
        <v>185</v>
      </c>
      <c r="F30" s="51" t="s">
        <v>180</v>
      </c>
      <c r="G30" s="50"/>
      <c r="H30" s="66" t="s">
        <v>49</v>
      </c>
      <c r="I30" s="104">
        <v>368323.2</v>
      </c>
      <c r="J30" s="54">
        <v>208881.49</v>
      </c>
      <c r="K30" s="54">
        <f>+I30+J30</f>
        <v>577204.68999999994</v>
      </c>
      <c r="L30" s="79" t="s">
        <v>124</v>
      </c>
      <c r="M30" s="85">
        <f>(I30+J30)*5%</f>
        <v>28860.234499999999</v>
      </c>
      <c r="N30" s="79" t="s">
        <v>124</v>
      </c>
      <c r="O30" s="79" t="s">
        <v>124</v>
      </c>
      <c r="P30" s="79" t="s">
        <v>124</v>
      </c>
      <c r="Q30" s="79" t="s">
        <v>124</v>
      </c>
      <c r="R30" s="79" t="s">
        <v>124</v>
      </c>
      <c r="S30" s="83"/>
      <c r="T30" s="83"/>
    </row>
    <row r="31" spans="2:20" s="91" customFormat="1" ht="11.25" x14ac:dyDescent="0.2">
      <c r="B31" s="50">
        <v>3</v>
      </c>
      <c r="C31" s="51" t="s">
        <v>83</v>
      </c>
      <c r="D31" s="51" t="s">
        <v>28</v>
      </c>
      <c r="E31" s="66" t="s">
        <v>186</v>
      </c>
      <c r="F31" s="51" t="s">
        <v>181</v>
      </c>
      <c r="G31" s="50"/>
      <c r="H31" s="51" t="s">
        <v>189</v>
      </c>
      <c r="I31" s="104">
        <v>805888.9</v>
      </c>
      <c r="J31" s="54">
        <v>225920.27</v>
      </c>
      <c r="K31" s="54">
        <f>+I31+J31</f>
        <v>1031809.17</v>
      </c>
      <c r="L31" s="79" t="s">
        <v>124</v>
      </c>
      <c r="M31" s="85">
        <f>(I31+J31)*5%</f>
        <v>51590.458500000008</v>
      </c>
      <c r="N31" s="79" t="s">
        <v>124</v>
      </c>
      <c r="O31" s="79" t="s">
        <v>124</v>
      </c>
      <c r="P31" s="79" t="s">
        <v>124</v>
      </c>
      <c r="Q31" s="79" t="s">
        <v>124</v>
      </c>
      <c r="R31" s="79" t="s">
        <v>124</v>
      </c>
      <c r="S31" s="83"/>
      <c r="T31" s="83"/>
    </row>
    <row r="32" spans="2:20" s="91" customFormat="1" ht="11.25" x14ac:dyDescent="0.2">
      <c r="B32" s="50">
        <v>4</v>
      </c>
      <c r="C32" s="51" t="s">
        <v>83</v>
      </c>
      <c r="D32" s="51" t="s">
        <v>28</v>
      </c>
      <c r="E32" s="66" t="s">
        <v>187</v>
      </c>
      <c r="F32" s="51" t="s">
        <v>182</v>
      </c>
      <c r="G32" s="50"/>
      <c r="H32" s="66" t="s">
        <v>101</v>
      </c>
      <c r="I32" s="104">
        <v>7642425.7000000002</v>
      </c>
      <c r="J32" s="54">
        <v>1142464.0900000001</v>
      </c>
      <c r="K32" s="54">
        <f>+I32+J32</f>
        <v>8784889.790000001</v>
      </c>
      <c r="L32" s="79" t="s">
        <v>124</v>
      </c>
      <c r="M32" s="85">
        <f>(I32+J32)*5%</f>
        <v>439244.48950000008</v>
      </c>
      <c r="N32" s="79" t="s">
        <v>124</v>
      </c>
      <c r="O32" s="79" t="s">
        <v>124</v>
      </c>
      <c r="P32" s="79" t="s">
        <v>124</v>
      </c>
      <c r="Q32" s="79" t="s">
        <v>124</v>
      </c>
      <c r="R32" s="79" t="s">
        <v>124</v>
      </c>
      <c r="S32" s="83"/>
      <c r="T32" s="83"/>
    </row>
    <row r="33" spans="2:20" s="91" customFormat="1" ht="11.25" x14ac:dyDescent="0.2">
      <c r="B33" s="50">
        <v>5</v>
      </c>
      <c r="C33" s="51" t="s">
        <v>83</v>
      </c>
      <c r="D33" s="51" t="s">
        <v>28</v>
      </c>
      <c r="E33" s="66" t="s">
        <v>188</v>
      </c>
      <c r="F33" s="51" t="s">
        <v>183</v>
      </c>
      <c r="G33" s="50"/>
      <c r="H33" s="66" t="s">
        <v>190</v>
      </c>
      <c r="I33" s="104">
        <v>100013</v>
      </c>
      <c r="J33" s="54">
        <v>256714.62</v>
      </c>
      <c r="K33" s="54">
        <f>+I33+J33</f>
        <v>356727.62</v>
      </c>
      <c r="L33" s="79" t="s">
        <v>124</v>
      </c>
      <c r="M33" s="85">
        <f>(I33+J33)*5%</f>
        <v>17836.381000000001</v>
      </c>
      <c r="N33" s="79" t="s">
        <v>124</v>
      </c>
      <c r="O33" s="79" t="s">
        <v>124</v>
      </c>
      <c r="P33" s="79" t="s">
        <v>124</v>
      </c>
      <c r="Q33" s="79" t="s">
        <v>124</v>
      </c>
      <c r="R33" s="79" t="s">
        <v>124</v>
      </c>
      <c r="S33" s="83"/>
      <c r="T33" s="83"/>
    </row>
    <row r="34" spans="2:20" s="190" customFormat="1" ht="19.5" customHeight="1" x14ac:dyDescent="0.25">
      <c r="B34" s="322"/>
      <c r="C34" s="323"/>
      <c r="D34" s="323"/>
      <c r="E34" s="323"/>
      <c r="F34" s="324" t="s">
        <v>195</v>
      </c>
      <c r="G34" s="325"/>
      <c r="H34" s="323"/>
      <c r="I34" s="326">
        <f>SUM(I29:I33)</f>
        <v>9000650.8000000007</v>
      </c>
      <c r="J34" s="326">
        <f t="shared" ref="J34:T34" si="4">SUM(J29:J33)</f>
        <v>1934272.3900000001</v>
      </c>
      <c r="K34" s="326">
        <f>SUM(K29:K33)</f>
        <v>10934923.189999999</v>
      </c>
      <c r="L34" s="326">
        <f t="shared" si="4"/>
        <v>0</v>
      </c>
      <c r="M34" s="326">
        <f t="shared" si="4"/>
        <v>546746.15950000018</v>
      </c>
      <c r="N34" s="326">
        <f t="shared" si="4"/>
        <v>0</v>
      </c>
      <c r="O34" s="326">
        <f t="shared" si="4"/>
        <v>0</v>
      </c>
      <c r="P34" s="326">
        <f t="shared" si="4"/>
        <v>0</v>
      </c>
      <c r="Q34" s="327">
        <f t="shared" si="4"/>
        <v>0</v>
      </c>
      <c r="R34" s="327">
        <f t="shared" si="4"/>
        <v>0</v>
      </c>
      <c r="S34" s="326">
        <f t="shared" si="4"/>
        <v>0</v>
      </c>
      <c r="T34" s="326">
        <f t="shared" si="4"/>
        <v>0</v>
      </c>
    </row>
    <row r="35" spans="2:20" s="91" customFormat="1" ht="11.25" x14ac:dyDescent="0.2">
      <c r="B35" s="99"/>
      <c r="C35" s="9"/>
      <c r="D35" s="9"/>
      <c r="E35" s="100"/>
      <c r="F35" s="9"/>
      <c r="G35" s="99"/>
      <c r="H35" s="9"/>
      <c r="J35" s="90"/>
      <c r="K35" s="90"/>
      <c r="Q35" s="169"/>
      <c r="R35" s="169"/>
    </row>
    <row r="36" spans="2:20" s="91" customFormat="1" ht="11.25" x14ac:dyDescent="0.2">
      <c r="B36" s="99"/>
      <c r="C36" s="9"/>
      <c r="D36" s="9"/>
      <c r="E36" s="100"/>
      <c r="F36" s="9"/>
      <c r="G36" s="99"/>
      <c r="H36" s="9"/>
      <c r="J36" s="90"/>
      <c r="K36" s="90"/>
      <c r="Q36" s="169"/>
      <c r="R36" s="169"/>
    </row>
    <row r="37" spans="2:20" s="124" customFormat="1" ht="30" customHeight="1" thickBot="1" x14ac:dyDescent="0.3">
      <c r="B37" s="125"/>
      <c r="C37" s="126"/>
      <c r="D37" s="126"/>
      <c r="E37" s="127"/>
      <c r="F37" s="128" t="s">
        <v>624</v>
      </c>
      <c r="G37" s="125"/>
      <c r="H37" s="126"/>
      <c r="I37" s="273">
        <f>+I22+I26++I34</f>
        <v>11707456.4</v>
      </c>
      <c r="J37" s="273">
        <f t="shared" ref="J37:M37" si="5">+J22+J26++J34</f>
        <v>50783901.399999999</v>
      </c>
      <c r="K37" s="273">
        <f t="shared" si="5"/>
        <v>59710843.189999998</v>
      </c>
      <c r="L37" s="273">
        <f>+L4</f>
        <v>20000000</v>
      </c>
      <c r="M37" s="273">
        <f t="shared" si="5"/>
        <v>3124567.89</v>
      </c>
      <c r="N37" s="273">
        <f>+N4</f>
        <v>50000000</v>
      </c>
      <c r="O37" s="273">
        <f t="shared" ref="O37:T37" si="6">+O4</f>
        <v>20000000</v>
      </c>
      <c r="P37" s="273">
        <f t="shared" si="6"/>
        <v>1500000</v>
      </c>
      <c r="Q37" s="273">
        <f t="shared" si="6"/>
        <v>500000</v>
      </c>
      <c r="R37" s="273">
        <f t="shared" si="6"/>
        <v>500000</v>
      </c>
      <c r="S37" s="273">
        <f t="shared" si="6"/>
        <v>0</v>
      </c>
      <c r="T37" s="273">
        <f t="shared" si="6"/>
        <v>0</v>
      </c>
    </row>
    <row r="38" spans="2:20" s="91" customFormat="1" ht="12" thickBot="1" x14ac:dyDescent="0.25">
      <c r="B38" s="99"/>
      <c r="C38" s="9"/>
      <c r="D38" s="9"/>
      <c r="E38" s="100"/>
      <c r="F38" s="9"/>
      <c r="G38" s="99"/>
      <c r="H38" s="9"/>
      <c r="J38" s="90"/>
      <c r="K38" s="90"/>
      <c r="N38" s="171" t="s">
        <v>487</v>
      </c>
      <c r="O38" s="171" t="s">
        <v>487</v>
      </c>
      <c r="P38" s="171" t="s">
        <v>487</v>
      </c>
      <c r="Q38" s="171" t="s">
        <v>487</v>
      </c>
      <c r="R38" s="171" t="s">
        <v>487</v>
      </c>
      <c r="S38" s="171" t="s">
        <v>487</v>
      </c>
      <c r="T38" s="171" t="s">
        <v>487</v>
      </c>
    </row>
    <row r="39" spans="2:20" x14ac:dyDescent="0.25">
      <c r="I39" s="150" t="s">
        <v>474</v>
      </c>
      <c r="J39" s="150" t="s">
        <v>475</v>
      </c>
      <c r="K39" s="150" t="s">
        <v>476</v>
      </c>
      <c r="L39" s="151" t="s">
        <v>477</v>
      </c>
      <c r="M39" s="151" t="s">
        <v>478</v>
      </c>
      <c r="N39" s="152" t="s">
        <v>479</v>
      </c>
      <c r="O39" s="152" t="s">
        <v>480</v>
      </c>
      <c r="P39" s="152" t="s">
        <v>481</v>
      </c>
      <c r="Q39" s="152" t="s">
        <v>482</v>
      </c>
      <c r="R39" s="152" t="s">
        <v>483</v>
      </c>
      <c r="S39" s="152" t="s">
        <v>484</v>
      </c>
      <c r="T39" s="152" t="s">
        <v>485</v>
      </c>
    </row>
    <row r="40" spans="2:20" x14ac:dyDescent="0.25">
      <c r="Q40" s="152"/>
      <c r="R40" s="152"/>
    </row>
    <row r="41" spans="2:20" x14ac:dyDescent="0.25">
      <c r="K41" s="45">
        <f>+K37*5%</f>
        <v>2985542.1595000001</v>
      </c>
    </row>
  </sheetData>
  <conditionalFormatting sqref="I6:I21">
    <cfRule type="cellIs" dxfId="8" priority="2" operator="equal">
      <formula>0</formula>
    </cfRule>
  </conditionalFormatting>
  <conditionalFormatting sqref="I25:T25 J6:T21 I29:T33">
    <cfRule type="cellIs" dxfId="7" priority="1" operator="equal">
      <formula>0</formula>
    </cfRule>
  </conditionalFormatting>
  <printOptions horizontalCentered="1"/>
  <pageMargins left="3.937007874015748E-2" right="3.937007874015748E-2" top="0.15748031496062992" bottom="0.15748031496062992" header="0.31496062992125984" footer="0.31496062992125984"/>
  <pageSetup paperSize="119" scale="75" orientation="landscape" r:id="rId1"/>
  <customProperties>
    <customPr name="LastActive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00B050"/>
    <pageSetUpPr fitToPage="1"/>
  </sheetPr>
  <dimension ref="B1:U20"/>
  <sheetViews>
    <sheetView showGridLines="0" zoomScale="120" zoomScaleNormal="120" workbookViewId="0">
      <pane ySplit="13" topLeftCell="A15" activePane="bottomLeft" state="frozen"/>
      <selection pane="bottomLeft" activeCell="E19" sqref="E19"/>
    </sheetView>
  </sheetViews>
  <sheetFormatPr baseColWidth="10" defaultColWidth="11.42578125" defaultRowHeight="12.75" x14ac:dyDescent="0.25"/>
  <cols>
    <col min="1" max="1" width="2.42578125" style="44" customWidth="1"/>
    <col min="2" max="2" width="1.28515625" style="41" customWidth="1"/>
    <col min="3" max="3" width="12" style="42" customWidth="1"/>
    <col min="4" max="4" width="9.140625" style="42" customWidth="1"/>
    <col min="5" max="5" width="54.28515625" style="43" customWidth="1"/>
    <col min="6" max="6" width="9.28515625" style="42" hidden="1" customWidth="1"/>
    <col min="7" max="7" width="9" style="41" hidden="1" customWidth="1"/>
    <col min="8" max="8" width="11.5703125" style="42" customWidth="1"/>
    <col min="9" max="9" width="18" style="44" customWidth="1"/>
    <col min="10" max="10" width="16.42578125" style="45" customWidth="1"/>
    <col min="11" max="11" width="19.5703125" style="45" hidden="1" customWidth="1"/>
    <col min="12" max="12" width="15.28515625" style="44" hidden="1" customWidth="1"/>
    <col min="13" max="13" width="16.42578125" style="44" customWidth="1"/>
    <col min="14" max="14" width="16" style="44" customWidth="1"/>
    <col min="15" max="15" width="16.85546875" style="44" hidden="1" customWidth="1"/>
    <col min="16" max="16" width="14.5703125" style="44" customWidth="1"/>
    <col min="17" max="17" width="13" style="44" customWidth="1"/>
    <col min="18" max="18" width="13.42578125" style="44" customWidth="1"/>
    <col min="19" max="19" width="16.140625" style="44" customWidth="1"/>
    <col min="20" max="20" width="14.140625" style="44" customWidth="1"/>
    <col min="21" max="21" width="17.140625" style="44" customWidth="1"/>
    <col min="22" max="16384" width="11.42578125" style="44"/>
  </cols>
  <sheetData>
    <row r="1" spans="2:21" x14ac:dyDescent="0.25">
      <c r="B1" s="41">
        <v>3.4</v>
      </c>
    </row>
    <row r="2" spans="2:21" s="204" customFormat="1" ht="24.75" customHeight="1" x14ac:dyDescent="0.35">
      <c r="B2" s="630" t="s">
        <v>583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2:21" s="204" customFormat="1" ht="18" x14ac:dyDescent="0.25">
      <c r="B3" s="631" t="s">
        <v>584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</row>
    <row r="4" spans="2:21" s="204" customFormat="1" ht="15.75" customHeight="1" x14ac:dyDescent="0.2">
      <c r="B4" s="632" t="s">
        <v>585</v>
      </c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</row>
    <row r="5" spans="2:21" s="204" customFormat="1" ht="5.25" customHeight="1" x14ac:dyDescent="0.2"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</row>
    <row r="6" spans="2:21" s="204" customFormat="1" ht="15.75" x14ac:dyDescent="0.25">
      <c r="B6" s="632" t="s">
        <v>586</v>
      </c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</row>
    <row r="7" spans="2:21" s="206" customFormat="1" ht="26.25" customHeight="1" x14ac:dyDescent="0.25">
      <c r="B7" s="634" t="s">
        <v>602</v>
      </c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</row>
    <row r="8" spans="2:21" s="206" customFormat="1" ht="19.5" customHeight="1" x14ac:dyDescent="0.25">
      <c r="B8" s="635" t="s">
        <v>603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</row>
    <row r="9" spans="2:21" s="206" customFormat="1" ht="30.75" customHeight="1" x14ac:dyDescent="0.25">
      <c r="B9" s="636" t="s">
        <v>588</v>
      </c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</row>
    <row r="10" spans="2:21" ht="22.5" customHeight="1" x14ac:dyDescent="0.25"/>
    <row r="11" spans="2:21" ht="27.75" customHeight="1" x14ac:dyDescent="0.25">
      <c r="C11" s="172" t="s">
        <v>591</v>
      </c>
      <c r="E11" s="172" t="s">
        <v>539</v>
      </c>
    </row>
    <row r="12" spans="2:21" s="1" customFormat="1" ht="5.25" customHeight="1" x14ac:dyDescent="0.25">
      <c r="B12" s="227"/>
      <c r="C12" s="633"/>
      <c r="D12" s="633"/>
      <c r="E12" s="228"/>
      <c r="F12" s="227"/>
      <c r="G12" s="227"/>
      <c r="H12" s="227"/>
      <c r="I12" s="49"/>
      <c r="J12" s="48"/>
      <c r="K12" s="48"/>
      <c r="L12" s="49"/>
      <c r="M12" s="49"/>
      <c r="N12" s="49"/>
      <c r="O12" s="49"/>
      <c r="P12" s="49"/>
      <c r="Q12" s="49"/>
      <c r="R12" s="49"/>
      <c r="S12" s="49"/>
      <c r="T12" s="49"/>
    </row>
    <row r="13" spans="2:21" s="1" customFormat="1" ht="45" customHeight="1" x14ac:dyDescent="0.25">
      <c r="B13" s="225"/>
      <c r="C13" s="625" t="s">
        <v>523</v>
      </c>
      <c r="D13" s="625"/>
      <c r="E13" s="226" t="s">
        <v>37</v>
      </c>
      <c r="F13" s="225"/>
      <c r="G13" s="225"/>
      <c r="H13" s="230" t="s">
        <v>533</v>
      </c>
      <c r="I13" s="231" t="s">
        <v>525</v>
      </c>
      <c r="J13" s="232" t="s">
        <v>526</v>
      </c>
      <c r="K13" s="232" t="s">
        <v>488</v>
      </c>
      <c r="L13" s="233" t="s">
        <v>518</v>
      </c>
      <c r="M13" s="233" t="s">
        <v>527</v>
      </c>
      <c r="N13" s="230" t="s">
        <v>528</v>
      </c>
      <c r="O13" s="230" t="s">
        <v>524</v>
      </c>
      <c r="P13" s="230" t="s">
        <v>529</v>
      </c>
      <c r="Q13" s="230" t="s">
        <v>530</v>
      </c>
      <c r="R13" s="230" t="s">
        <v>483</v>
      </c>
      <c r="S13" s="230" t="s">
        <v>531</v>
      </c>
      <c r="T13" s="229" t="s">
        <v>532</v>
      </c>
    </row>
    <row r="14" spans="2:21" s="187" customFormat="1" ht="54.75" customHeight="1" x14ac:dyDescent="0.25">
      <c r="B14" s="183"/>
      <c r="C14" s="624" t="s">
        <v>615</v>
      </c>
      <c r="D14" s="624"/>
      <c r="E14" s="258" t="s">
        <v>538</v>
      </c>
      <c r="F14" s="193"/>
      <c r="G14" s="192"/>
      <c r="H14" s="201">
        <f>+'3.1 y 3.2 GES PROPIOS'!B42</f>
        <v>36</v>
      </c>
      <c r="I14" s="343">
        <f>+'3.1 y 3.2 GES PROPIOS'!$I$43</f>
        <v>1703039686.1862874</v>
      </c>
      <c r="J14" s="344">
        <f>+'3.1 y 3.2 GES PROPIOS'!$J$43</f>
        <v>404511346.64426142</v>
      </c>
      <c r="K14" s="345">
        <f>+'3.1 y 3.2 GES PROPIOS'!$K$43</f>
        <v>2104081876.7664206</v>
      </c>
      <c r="L14" s="345">
        <f>+'3.1 y 3.2 GES PROPIOS'!$L$43</f>
        <v>20000000</v>
      </c>
      <c r="M14" s="345">
        <f>+'3.1 y 3.2 GES PROPIOS'!$M$43</f>
        <v>105377551.64152741</v>
      </c>
      <c r="N14" s="345">
        <f>+'3.1 y 3.2 GES PROPIOS'!$N$43</f>
        <v>50000000</v>
      </c>
      <c r="O14" s="345">
        <f>+'3.1 y 3.2 GES PROPIOS'!$O$43</f>
        <v>20000000</v>
      </c>
      <c r="P14" s="345">
        <f>+'3.1 y 3.2 GES PROPIOS'!$P$43</f>
        <v>1500000</v>
      </c>
      <c r="Q14" s="345">
        <f>+'3.1 y 3.2 GES PROPIOS'!$Q$43</f>
        <v>500000</v>
      </c>
      <c r="R14" s="345">
        <f>+'3.1 y 3.2 GES PROPIOS'!$R$43</f>
        <v>500000</v>
      </c>
      <c r="S14" s="345">
        <f>+'3.1 y 3.2 GES PROPIOS'!$S$43</f>
        <v>90000000</v>
      </c>
      <c r="T14" s="343">
        <f>+'3.1 y 3.2 GES PROPIOS'!$T$43</f>
        <v>7839846</v>
      </c>
    </row>
    <row r="15" spans="2:21" s="188" customFormat="1" ht="54.75" customHeight="1" x14ac:dyDescent="0.25">
      <c r="B15" s="197"/>
      <c r="C15" s="198" t="s">
        <v>616</v>
      </c>
      <c r="D15" s="199"/>
      <c r="E15" s="259" t="s">
        <v>84</v>
      </c>
      <c r="F15" s="200"/>
      <c r="G15" s="197"/>
      <c r="H15" s="202">
        <f>+'3.1 y 3.2 GES PROPIOS'!B53</f>
        <v>6</v>
      </c>
      <c r="I15" s="346">
        <f>+Table4[[#Totals],[Column8]]</f>
        <v>75633657.619641453</v>
      </c>
      <c r="J15" s="346">
        <f>+Table4[[#Totals],[Column9]]</f>
        <v>176441517.4407526</v>
      </c>
      <c r="K15" s="347" t="e">
        <f>+'3.1 y 3.2 GES PROPIOS'!#REF!</f>
        <v>#REF!</v>
      </c>
      <c r="L15" s="348" t="s">
        <v>124</v>
      </c>
      <c r="M15" s="347">
        <f>+'3.1 y 3.2 GES PROPIOS'!M56</f>
        <v>117981310.39454712</v>
      </c>
      <c r="N15" s="348" t="s">
        <v>124</v>
      </c>
      <c r="O15" s="348" t="s">
        <v>124</v>
      </c>
      <c r="P15" s="348" t="s">
        <v>124</v>
      </c>
      <c r="Q15" s="348" t="s">
        <v>124</v>
      </c>
      <c r="R15" s="348" t="s">
        <v>124</v>
      </c>
      <c r="S15" s="347">
        <f>+FISCALIA22222!S37</f>
        <v>0</v>
      </c>
      <c r="T15" s="346">
        <f>+FISCALIA22222!T37</f>
        <v>0</v>
      </c>
      <c r="U15" s="349"/>
    </row>
    <row r="16" spans="2:21" s="190" customFormat="1" ht="54.75" customHeight="1" x14ac:dyDescent="0.25">
      <c r="B16" s="198"/>
      <c r="C16" s="198" t="s">
        <v>617</v>
      </c>
      <c r="D16" s="199"/>
      <c r="E16" s="259" t="s">
        <v>534</v>
      </c>
      <c r="F16" s="472"/>
      <c r="G16" s="473"/>
      <c r="H16" s="474">
        <f>+'3.3 GES ARRENDADOS'!B125</f>
        <v>120</v>
      </c>
      <c r="I16" s="475">
        <v>0</v>
      </c>
      <c r="J16" s="476">
        <f>+'3.3 GES ARRENDADOS'!J129</f>
        <v>112621740</v>
      </c>
      <c r="K16" s="347">
        <f>+'3.3 GES ARRENDADOS'!K129</f>
        <v>112621740</v>
      </c>
      <c r="L16" s="348" t="s">
        <v>124</v>
      </c>
      <c r="M16" s="347">
        <f>+'3.3 GES ARRENDADOS'!M129</f>
        <v>5631087</v>
      </c>
      <c r="N16" s="348" t="s">
        <v>124</v>
      </c>
      <c r="O16" s="348" t="s">
        <v>124</v>
      </c>
      <c r="P16" s="348" t="s">
        <v>124</v>
      </c>
      <c r="Q16" s="348" t="s">
        <v>124</v>
      </c>
      <c r="R16" s="348" t="s">
        <v>124</v>
      </c>
      <c r="S16" s="477">
        <f>+'3.3 GES ARRENDADOS'!S129</f>
        <v>0</v>
      </c>
      <c r="T16" s="346" t="e">
        <f>+'3.3 GES ARRENDADOS'!#REF!</f>
        <v>#REF!</v>
      </c>
      <c r="U16" s="354"/>
    </row>
    <row r="17" spans="2:21" s="190" customFormat="1" ht="54.75" customHeight="1" thickBot="1" x14ac:dyDescent="0.3">
      <c r="B17" s="243"/>
      <c r="C17" s="195" t="s">
        <v>618</v>
      </c>
      <c r="D17" s="196"/>
      <c r="E17" s="260" t="s">
        <v>614</v>
      </c>
      <c r="G17" s="189"/>
      <c r="H17" s="203">
        <v>23</v>
      </c>
      <c r="I17" s="471">
        <f>+'3.4 FISCALIA'!I36+'3.4 FISCALIA'!I59</f>
        <v>336113840.91000003</v>
      </c>
      <c r="J17" s="350">
        <f>+'3.4 FISCALIA'!J31+'3.4 FISCALIA'!J36+'3.4 FISCALIA'!J59</f>
        <v>365682384.91949999</v>
      </c>
      <c r="K17" s="351">
        <f>+'3.3 GES ARRENDADOS'!K130</f>
        <v>0</v>
      </c>
      <c r="L17" s="352" t="s">
        <v>124</v>
      </c>
      <c r="M17" s="351">
        <f>+'3.4 FISCALIA'!M75</f>
        <v>35161475.881474987</v>
      </c>
      <c r="N17" s="352" t="s">
        <v>124</v>
      </c>
      <c r="O17" s="352" t="s">
        <v>124</v>
      </c>
      <c r="P17" s="352" t="s">
        <v>124</v>
      </c>
      <c r="Q17" s="352" t="s">
        <v>124</v>
      </c>
      <c r="R17" s="352" t="s">
        <v>124</v>
      </c>
      <c r="S17" s="477">
        <v>0</v>
      </c>
      <c r="T17" s="353" t="e">
        <f>+'3.3 GES ARRENDADOS'!#REF!</f>
        <v>#REF!</v>
      </c>
      <c r="U17" s="354"/>
    </row>
    <row r="18" spans="2:21" ht="40.5" customHeight="1" x14ac:dyDescent="0.25">
      <c r="B18" s="241"/>
      <c r="C18" s="235"/>
      <c r="D18" s="235"/>
      <c r="E18" s="261" t="s">
        <v>544</v>
      </c>
      <c r="F18" s="235"/>
      <c r="G18" s="234"/>
      <c r="H18" s="478">
        <f>SUM(H14:H17)</f>
        <v>185</v>
      </c>
      <c r="I18" s="252">
        <f>SUM(I14:I17)</f>
        <v>2114787184.715929</v>
      </c>
      <c r="J18" s="253">
        <f>SUM(J14:J17)</f>
        <v>1059256989.004514</v>
      </c>
      <c r="K18" s="254" t="e">
        <f t="shared" ref="K18:T18" si="0">SUM(K14:K16)</f>
        <v>#REF!</v>
      </c>
      <c r="L18" s="254">
        <f t="shared" si="0"/>
        <v>20000000</v>
      </c>
      <c r="M18" s="254">
        <f t="shared" si="0"/>
        <v>228989949.03607452</v>
      </c>
      <c r="N18" s="254">
        <f t="shared" si="0"/>
        <v>50000000</v>
      </c>
      <c r="O18" s="254">
        <f t="shared" si="0"/>
        <v>20000000</v>
      </c>
      <c r="P18" s="254">
        <f t="shared" si="0"/>
        <v>1500000</v>
      </c>
      <c r="Q18" s="254">
        <f t="shared" si="0"/>
        <v>500000</v>
      </c>
      <c r="R18" s="254">
        <f t="shared" si="0"/>
        <v>500000</v>
      </c>
      <c r="S18" s="254">
        <f t="shared" si="0"/>
        <v>90000000</v>
      </c>
      <c r="T18" s="252" t="e">
        <f t="shared" si="0"/>
        <v>#REF!</v>
      </c>
    </row>
    <row r="19" spans="2:21" ht="26.25" customHeight="1" x14ac:dyDescent="0.25">
      <c r="B19" s="242"/>
      <c r="C19" s="255"/>
      <c r="D19" s="255"/>
      <c r="E19" s="262" t="s">
        <v>545</v>
      </c>
      <c r="F19" s="255"/>
      <c r="G19" s="242"/>
      <c r="H19" s="256"/>
      <c r="I19" s="626">
        <v>712000000</v>
      </c>
      <c r="J19" s="626"/>
      <c r="K19" s="257"/>
      <c r="L19" s="628" t="s">
        <v>487</v>
      </c>
      <c r="M19" s="479"/>
      <c r="N19" s="628" t="s">
        <v>487</v>
      </c>
      <c r="O19" s="628" t="s">
        <v>487</v>
      </c>
      <c r="P19" s="628" t="s">
        <v>487</v>
      </c>
      <c r="Q19" s="628" t="s">
        <v>487</v>
      </c>
      <c r="R19" s="628" t="s">
        <v>487</v>
      </c>
      <c r="S19" s="481"/>
      <c r="T19" s="482"/>
    </row>
    <row r="20" spans="2:21" ht="15" customHeight="1" thickBot="1" x14ac:dyDescent="0.3">
      <c r="B20" s="236"/>
      <c r="C20" s="237"/>
      <c r="D20" s="237"/>
      <c r="E20" s="238"/>
      <c r="F20" s="237"/>
      <c r="G20" s="236"/>
      <c r="H20" s="239"/>
      <c r="I20" s="627" t="s">
        <v>543</v>
      </c>
      <c r="J20" s="627"/>
      <c r="K20" s="240"/>
      <c r="L20" s="629"/>
      <c r="M20" s="480"/>
      <c r="N20" s="629"/>
      <c r="O20" s="629"/>
      <c r="P20" s="629"/>
      <c r="Q20" s="629"/>
      <c r="R20" s="629"/>
      <c r="S20" s="483"/>
      <c r="T20" s="484"/>
    </row>
  </sheetData>
  <mergeCells count="18">
    <mergeCell ref="B2:T2"/>
    <mergeCell ref="B3:T3"/>
    <mergeCell ref="B4:T5"/>
    <mergeCell ref="B6:T6"/>
    <mergeCell ref="C12:D12"/>
    <mergeCell ref="B7:T7"/>
    <mergeCell ref="B8:T8"/>
    <mergeCell ref="B9:T9"/>
    <mergeCell ref="P19:P20"/>
    <mergeCell ref="Q19:Q20"/>
    <mergeCell ref="R19:R20"/>
    <mergeCell ref="O19:O20"/>
    <mergeCell ref="N19:N20"/>
    <mergeCell ref="C14:D14"/>
    <mergeCell ref="C13:D13"/>
    <mergeCell ref="I19:J19"/>
    <mergeCell ref="I20:J20"/>
    <mergeCell ref="L19:L20"/>
  </mergeCells>
  <phoneticPr fontId="42" type="noConversion"/>
  <conditionalFormatting sqref="I14:T17">
    <cfRule type="cellIs" dxfId="6" priority="1" operator="equal">
      <formula>0</formula>
    </cfRule>
  </conditionalFormatting>
  <printOptions horizontalCentered="1"/>
  <pageMargins left="3.9370078740157501E-2" right="3.9370078740157501E-2" top="0.71" bottom="0.15748031496063" header="0.35" footer="0.31496062992126"/>
  <pageSetup paperSize="119" scale="59" orientation="landscape" r:id="rId1"/>
  <customProperties>
    <customPr name="LastActive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FFC000"/>
    <pageSetUpPr fitToPage="1"/>
  </sheetPr>
  <dimension ref="B1:L28"/>
  <sheetViews>
    <sheetView showGridLines="0" workbookViewId="0"/>
  </sheetViews>
  <sheetFormatPr baseColWidth="10" defaultColWidth="9.140625" defaultRowHeight="14.25" x14ac:dyDescent="0.2"/>
  <cols>
    <col min="1" max="1" width="3.7109375" style="204" customWidth="1"/>
    <col min="2" max="2" width="43.28515625" style="204" customWidth="1"/>
    <col min="3" max="3" width="24" style="205" customWidth="1"/>
    <col min="4" max="4" width="24.7109375" style="205" customWidth="1"/>
    <col min="5" max="5" width="24.28515625" style="205" customWidth="1"/>
    <col min="6" max="6" width="25.42578125" style="205" customWidth="1"/>
    <col min="7" max="7" width="25.42578125" style="217" customWidth="1"/>
    <col min="8" max="8" width="6.85546875" style="204" customWidth="1"/>
    <col min="9" max="9" width="8" style="204" customWidth="1"/>
    <col min="10" max="10" width="10" style="204" customWidth="1"/>
    <col min="11" max="11" width="9.140625" style="204"/>
    <col min="12" max="12" width="27.140625" style="204" customWidth="1"/>
    <col min="13" max="16384" width="9.140625" style="204"/>
  </cols>
  <sheetData>
    <row r="1" spans="2:9" ht="5.25" customHeight="1" x14ac:dyDescent="0.2"/>
    <row r="2" spans="2:9" ht="24.75" customHeight="1" x14ac:dyDescent="0.35">
      <c r="B2" s="381" t="s">
        <v>583</v>
      </c>
      <c r="C2" s="368"/>
      <c r="D2" s="368"/>
      <c r="E2" s="368"/>
      <c r="F2" s="368"/>
      <c r="G2" s="368"/>
    </row>
    <row r="3" spans="2:9" ht="18" x14ac:dyDescent="0.25">
      <c r="B3" s="382" t="s">
        <v>584</v>
      </c>
      <c r="C3" s="364"/>
      <c r="D3" s="364"/>
      <c r="E3" s="364"/>
      <c r="F3" s="364"/>
      <c r="G3" s="365"/>
    </row>
    <row r="4" spans="2:9" ht="15.75" customHeight="1" x14ac:dyDescent="0.25">
      <c r="B4" s="366" t="s">
        <v>585</v>
      </c>
      <c r="C4" s="364"/>
      <c r="D4" s="364"/>
      <c r="E4" s="364"/>
      <c r="F4" s="364"/>
      <c r="G4" s="365"/>
    </row>
    <row r="5" spans="2:9" ht="5.25" customHeight="1" x14ac:dyDescent="0.25">
      <c r="B5" s="367"/>
      <c r="C5" s="364"/>
      <c r="D5" s="364"/>
      <c r="E5" s="364"/>
      <c r="F5" s="364"/>
      <c r="G5" s="365"/>
    </row>
    <row r="6" spans="2:9" s="206" customFormat="1" ht="19.5" customHeight="1" x14ac:dyDescent="0.25">
      <c r="B6" s="372" t="s">
        <v>719</v>
      </c>
      <c r="C6" s="369"/>
      <c r="D6" s="369"/>
      <c r="E6" s="369"/>
      <c r="F6" s="369"/>
      <c r="G6" s="370"/>
    </row>
    <row r="7" spans="2:9" s="206" customFormat="1" ht="18.75" customHeight="1" x14ac:dyDescent="0.25">
      <c r="B7" s="372" t="s">
        <v>720</v>
      </c>
      <c r="C7" s="369"/>
      <c r="D7" s="369"/>
      <c r="E7" s="369"/>
      <c r="F7" s="369"/>
      <c r="G7" s="370"/>
    </row>
    <row r="8" spans="2:9" s="206" customFormat="1" ht="19.5" customHeight="1" x14ac:dyDescent="0.25">
      <c r="B8" s="609" t="s">
        <v>603</v>
      </c>
      <c r="C8" s="369"/>
      <c r="D8" s="369"/>
      <c r="E8" s="369"/>
      <c r="F8" s="369"/>
      <c r="G8" s="370"/>
    </row>
    <row r="9" spans="2:9" s="206" customFormat="1" ht="30.75" customHeight="1" x14ac:dyDescent="0.25">
      <c r="B9" s="373" t="s">
        <v>623</v>
      </c>
      <c r="C9" s="374"/>
      <c r="D9" s="374"/>
      <c r="E9" s="374"/>
      <c r="F9" s="374"/>
      <c r="G9" s="375"/>
    </row>
    <row r="10" spans="2:9" ht="11.25" customHeight="1" x14ac:dyDescent="0.25">
      <c r="B10" s="601"/>
      <c r="C10" s="602"/>
      <c r="D10" s="602"/>
      <c r="E10" s="602"/>
      <c r="F10" s="602"/>
      <c r="G10" s="602"/>
    </row>
    <row r="11" spans="2:9" ht="6.75" hidden="1" customHeight="1" x14ac:dyDescent="0.2">
      <c r="B11" s="208"/>
      <c r="C11" s="207"/>
      <c r="D11" s="207"/>
      <c r="E11" s="207"/>
      <c r="F11" s="207"/>
      <c r="G11" s="207"/>
    </row>
    <row r="12" spans="2:9" ht="49.5" customHeight="1" x14ac:dyDescent="0.2">
      <c r="B12" s="511" t="s">
        <v>37</v>
      </c>
      <c r="C12" s="605" t="s">
        <v>535</v>
      </c>
      <c r="D12" s="603" t="s">
        <v>716</v>
      </c>
      <c r="E12" s="603" t="s">
        <v>537</v>
      </c>
      <c r="F12" s="605" t="s">
        <v>640</v>
      </c>
      <c r="G12" s="640" t="s">
        <v>142</v>
      </c>
    </row>
    <row r="13" spans="2:9" s="245" customFormat="1" ht="26.25" customHeight="1" x14ac:dyDescent="0.25">
      <c r="B13" s="606" t="s">
        <v>629</v>
      </c>
      <c r="C13" s="607">
        <v>3.1</v>
      </c>
      <c r="D13" s="608">
        <v>3.2</v>
      </c>
      <c r="E13" s="608">
        <v>3.3</v>
      </c>
      <c r="F13" s="607">
        <v>3.4</v>
      </c>
      <c r="G13" s="641"/>
    </row>
    <row r="14" spans="2:9" s="206" customFormat="1" ht="28.5" customHeight="1" thickBot="1" x14ac:dyDescent="0.3">
      <c r="B14" s="598" t="s">
        <v>540</v>
      </c>
      <c r="C14" s="599">
        <v>36</v>
      </c>
      <c r="D14" s="604">
        <v>6</v>
      </c>
      <c r="E14" s="604">
        <f>+'3.3 GES ARRENDADOS'!B129</f>
        <v>120</v>
      </c>
      <c r="F14" s="599">
        <f>+'3.4 FISCALIA'!B75</f>
        <v>45</v>
      </c>
      <c r="G14" s="600">
        <f>SUM(C14:F14)</f>
        <v>207</v>
      </c>
    </row>
    <row r="15" spans="2:9" s="206" customFormat="1" ht="40.5" customHeight="1" thickTop="1" x14ac:dyDescent="0.25">
      <c r="B15" s="301" t="s">
        <v>631</v>
      </c>
      <c r="C15" s="212">
        <f>+'3.1 y 3.2 GES PROPIOS'!I43</f>
        <v>1703039686.1862874</v>
      </c>
      <c r="D15" s="218">
        <f>+Table4[[#Totals],[Column8]]</f>
        <v>75633657.619641453</v>
      </c>
      <c r="E15" s="380">
        <f>+'3.3 GES ARRENDADOS'!I129</f>
        <v>0</v>
      </c>
      <c r="F15" s="380">
        <f>+'3.4 FISCALIA'!I75</f>
        <v>337547132.71000004</v>
      </c>
      <c r="G15" s="498">
        <f>SUM(C15:F15)</f>
        <v>2116220476.515929</v>
      </c>
      <c r="H15" s="637">
        <v>712</v>
      </c>
      <c r="I15" s="638" t="s">
        <v>582</v>
      </c>
    </row>
    <row r="16" spans="2:9" s="206" customFormat="1" ht="33.75" customHeight="1" x14ac:dyDescent="0.25">
      <c r="B16" s="209" t="s">
        <v>632</v>
      </c>
      <c r="C16" s="213">
        <f>+'3.1 y 3.2 GES PROPIOS'!J43</f>
        <v>404511346.64426142</v>
      </c>
      <c r="D16" s="219">
        <f>+Table4[[#Totals],[Column9]]</f>
        <v>176441517.4407526</v>
      </c>
      <c r="E16" s="288">
        <f>+'3.3 GES ARRENDADOS'!K129</f>
        <v>112621740</v>
      </c>
      <c r="F16" s="288">
        <f>+'3.4 FISCALIA'!J75</f>
        <v>365682384.91949999</v>
      </c>
      <c r="G16" s="499">
        <f>SUM(C16:F16)</f>
        <v>1059256989.004514</v>
      </c>
      <c r="H16" s="637"/>
      <c r="I16" s="639"/>
    </row>
    <row r="17" spans="2:12" s="206" customFormat="1" ht="36" customHeight="1" x14ac:dyDescent="0.25">
      <c r="B17" s="246" t="s">
        <v>633</v>
      </c>
      <c r="C17" s="214">
        <f>SUM(C15:C16)</f>
        <v>2107551032.8305488</v>
      </c>
      <c r="D17" s="220">
        <f>SUM(D15:D16)</f>
        <v>252075175.06039405</v>
      </c>
      <c r="E17" s="289">
        <v>112621740</v>
      </c>
      <c r="F17" s="289">
        <f>SUM(F15:F16)</f>
        <v>703229517.62950003</v>
      </c>
      <c r="G17" s="500">
        <f>SUM(C17:F17)</f>
        <v>3175477465.5204425</v>
      </c>
      <c r="H17" s="362"/>
      <c r="L17" s="468"/>
    </row>
    <row r="18" spans="2:12" s="206" customFormat="1" ht="36" customHeight="1" x14ac:dyDescent="0.25">
      <c r="B18" s="206" t="s">
        <v>620</v>
      </c>
      <c r="C18" s="212">
        <v>20000000</v>
      </c>
      <c r="D18" s="506" t="s">
        <v>124</v>
      </c>
      <c r="E18" s="507" t="s">
        <v>124</v>
      </c>
      <c r="F18" s="507" t="s">
        <v>124</v>
      </c>
      <c r="G18" s="498">
        <f>SUM(C18:E18)</f>
        <v>20000000</v>
      </c>
      <c r="H18" s="503" t="s">
        <v>630</v>
      </c>
      <c r="K18" s="206" t="s">
        <v>522</v>
      </c>
      <c r="L18" s="468"/>
    </row>
    <row r="19" spans="2:12" s="206" customFormat="1" ht="36" customHeight="1" x14ac:dyDescent="0.25">
      <c r="B19" s="299" t="s">
        <v>576</v>
      </c>
      <c r="C19" s="216">
        <f>+'PARTIDA 3 EDIFICIOS PUBLICOS '!M41</f>
        <v>105217964.25981997</v>
      </c>
      <c r="D19" s="221">
        <f>+Table4[[#Totals],[Column12]]</f>
        <v>12603758.753019704</v>
      </c>
      <c r="E19" s="290">
        <f>+'3.3 GES ARRENDADOS'!M129</f>
        <v>5631087</v>
      </c>
      <c r="F19" s="290">
        <f>+'3.4 FISCALIA'!M75</f>
        <v>35161475.881474987</v>
      </c>
      <c r="G19" s="501">
        <f>SUM(C19:F19)</f>
        <v>158614285.89431465</v>
      </c>
      <c r="H19" s="503"/>
      <c r="L19" s="468"/>
    </row>
    <row r="20" spans="2:12" s="206" customFormat="1" ht="36" customHeight="1" x14ac:dyDescent="0.25">
      <c r="B20" s="300" t="s">
        <v>634</v>
      </c>
      <c r="C20" s="215">
        <v>50000000</v>
      </c>
      <c r="D20" s="504" t="s">
        <v>124</v>
      </c>
      <c r="E20" s="505" t="s">
        <v>124</v>
      </c>
      <c r="F20" s="505" t="s">
        <v>124</v>
      </c>
      <c r="G20" s="501">
        <v>50000000</v>
      </c>
      <c r="H20" s="503" t="s">
        <v>630</v>
      </c>
      <c r="L20" s="467"/>
    </row>
    <row r="21" spans="2:12" s="206" customFormat="1" ht="36" customHeight="1" x14ac:dyDescent="0.25">
      <c r="B21" s="210" t="s">
        <v>619</v>
      </c>
      <c r="C21" s="215">
        <v>20000000</v>
      </c>
      <c r="D21" s="504" t="s">
        <v>124</v>
      </c>
      <c r="E21" s="505" t="s">
        <v>124</v>
      </c>
      <c r="F21" s="505" t="s">
        <v>124</v>
      </c>
      <c r="G21" s="501">
        <v>20000000</v>
      </c>
      <c r="H21" s="503" t="s">
        <v>630</v>
      </c>
    </row>
    <row r="22" spans="2:12" s="206" customFormat="1" ht="36" customHeight="1" x14ac:dyDescent="0.25">
      <c r="B22" s="300" t="s">
        <v>635</v>
      </c>
      <c r="C22" s="215">
        <v>1500000</v>
      </c>
      <c r="D22" s="504" t="s">
        <v>124</v>
      </c>
      <c r="E22" s="505" t="s">
        <v>124</v>
      </c>
      <c r="F22" s="505" t="s">
        <v>124</v>
      </c>
      <c r="G22" s="501">
        <v>1500000</v>
      </c>
      <c r="H22" s="503" t="s">
        <v>630</v>
      </c>
    </row>
    <row r="23" spans="2:12" s="206" customFormat="1" ht="36" customHeight="1" x14ac:dyDescent="0.25">
      <c r="B23" s="211" t="s">
        <v>636</v>
      </c>
      <c r="C23" s="215">
        <v>500000</v>
      </c>
      <c r="D23" s="504" t="s">
        <v>124</v>
      </c>
      <c r="E23" s="505" t="s">
        <v>124</v>
      </c>
      <c r="F23" s="505" t="s">
        <v>124</v>
      </c>
      <c r="G23" s="501">
        <v>500000</v>
      </c>
      <c r="H23" s="503" t="s">
        <v>630</v>
      </c>
    </row>
    <row r="24" spans="2:12" s="206" customFormat="1" ht="36" customHeight="1" x14ac:dyDescent="0.25">
      <c r="B24" s="211" t="s">
        <v>637</v>
      </c>
      <c r="C24" s="215">
        <v>500000</v>
      </c>
      <c r="D24" s="504" t="s">
        <v>124</v>
      </c>
      <c r="E24" s="505" t="s">
        <v>124</v>
      </c>
      <c r="F24" s="505" t="s">
        <v>124</v>
      </c>
      <c r="G24" s="501">
        <v>500000</v>
      </c>
      <c r="H24" s="503" t="s">
        <v>630</v>
      </c>
    </row>
    <row r="25" spans="2:12" s="206" customFormat="1" ht="36" customHeight="1" x14ac:dyDescent="0.25">
      <c r="B25" s="211" t="s">
        <v>638</v>
      </c>
      <c r="C25" s="215">
        <f>+'3.1 y 3.2 GES PROPIOS'!S43</f>
        <v>90000000</v>
      </c>
      <c r="D25" s="223">
        <f>+Table4[[#Totals],[Column18]]</f>
        <v>25344490.259999998</v>
      </c>
      <c r="E25" s="291">
        <v>0</v>
      </c>
      <c r="F25" s="291">
        <v>0</v>
      </c>
      <c r="G25" s="501">
        <v>115344490.25999999</v>
      </c>
    </row>
    <row r="26" spans="2:12" s="206" customFormat="1" ht="36" customHeight="1" thickBot="1" x14ac:dyDescent="0.3">
      <c r="B26" s="247" t="s">
        <v>639</v>
      </c>
      <c r="C26" s="248">
        <f>+'3.1 y 3.2 GES PROPIOS'!T43</f>
        <v>7839846</v>
      </c>
      <c r="D26" s="249">
        <v>0</v>
      </c>
      <c r="E26" s="292">
        <v>0</v>
      </c>
      <c r="F26" s="292">
        <v>0</v>
      </c>
      <c r="G26" s="502">
        <v>7839846</v>
      </c>
    </row>
    <row r="27" spans="2:12" ht="43.5" hidden="1" customHeight="1" x14ac:dyDescent="0.25">
      <c r="B27" s="281"/>
      <c r="C27" s="508">
        <f>+C17+C19+C20+C22+C23+C24+C25+C26</f>
        <v>2363108843.0903687</v>
      </c>
      <c r="D27" s="509">
        <f>+D17+D19+D25</f>
        <v>290023424.07341373</v>
      </c>
      <c r="E27" s="509">
        <f>+E17+E19</f>
        <v>118252827</v>
      </c>
      <c r="F27" s="510">
        <f>+F17+F19</f>
        <v>738390993.510975</v>
      </c>
      <c r="G27" s="293">
        <f>SUM(G17:G26)</f>
        <v>3549776087.674757</v>
      </c>
    </row>
    <row r="28" spans="2:12" ht="43.5" customHeight="1" x14ac:dyDescent="0.2"/>
  </sheetData>
  <mergeCells count="3">
    <mergeCell ref="H15:H16"/>
    <mergeCell ref="I15:I16"/>
    <mergeCell ref="G12:G13"/>
  </mergeCells>
  <conditionalFormatting sqref="C15:F26">
    <cfRule type="cellIs" dxfId="5" priority="1" operator="equal">
      <formula>0</formula>
    </cfRule>
  </conditionalFormatting>
  <printOptions horizontalCentered="1" verticalCentered="1"/>
  <pageMargins left="0.8" right="0.31" top="0.5" bottom="0.35" header="0.44" footer="0.3"/>
  <pageSetup scale="69" orientation="landscape" horizontalDpi="1440" verticalDpi="1440" r:id="rId1"/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15</vt:i4>
      </vt:variant>
    </vt:vector>
  </HeadingPairs>
  <TitlesOfParts>
    <vt:vector size="28" baseType="lpstr">
      <vt:lpstr>Menu</vt:lpstr>
      <vt:lpstr>PARTIDA 3 EDIFICIOS PUBLICOS </vt:lpstr>
      <vt:lpstr>Contents</vt:lpstr>
      <vt:lpstr>3.1 y 3.2 GES PROPIOS</vt:lpstr>
      <vt:lpstr>3.3 GES ARRENDADOS</vt:lpstr>
      <vt:lpstr>3.4 FISCALIA</vt:lpstr>
      <vt:lpstr>FISCALIA22222</vt:lpstr>
      <vt:lpstr>RESUMEN 1</vt:lpstr>
      <vt:lpstr>RESUMEN 2</vt:lpstr>
      <vt:lpstr>RESUMEN 2 (2)</vt:lpstr>
      <vt:lpstr>RESUMEN2</vt:lpstr>
      <vt:lpstr>Propios 2022</vt:lpstr>
      <vt:lpstr>Arrendados 2022</vt:lpstr>
      <vt:lpstr>'3.1 y 3.2 GES PROPIOS'!Área_de_impresión</vt:lpstr>
      <vt:lpstr>'3.3 GES ARRENDADOS'!Área_de_impresión</vt:lpstr>
      <vt:lpstr>'3.4 FISCALIA'!Área_de_impresión</vt:lpstr>
      <vt:lpstr>FISCALIA22222!Área_de_impresión</vt:lpstr>
      <vt:lpstr>'PARTIDA 3 EDIFICIOS PUBLICOS '!Área_de_impresión</vt:lpstr>
      <vt:lpstr>'RESUMEN 1'!Área_de_impresión</vt:lpstr>
      <vt:lpstr>'RESUMEN 2'!Área_de_impresión</vt:lpstr>
      <vt:lpstr>RESUMEN2!Área_de_impresión</vt:lpstr>
      <vt:lpstr>'3.1 y 3.2 GES PROPIOS'!Títulos_a_imprimir</vt:lpstr>
      <vt:lpstr>'3.3 GES ARRENDADOS'!Títulos_a_imprimir</vt:lpstr>
      <vt:lpstr>'3.4 FISCALIA'!Títulos_a_imprimir</vt:lpstr>
      <vt:lpstr>FISCALIA22222!Títulos_a_imprimir</vt:lpstr>
      <vt:lpstr>'PARTIDA 3 EDIFICIOS PUBLICOS '!Títulos_a_imprimir</vt:lpstr>
      <vt:lpstr>'RESUMEN 1'!Títulos_a_imprimir</vt:lpstr>
      <vt:lpstr>RESUMEN2!Títulos_a_imprimir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KOYO</dc:creator>
  <cp:lastModifiedBy>LIZET CRESPO</cp:lastModifiedBy>
  <cp:lastPrinted>2022-08-31T06:09:04Z</cp:lastPrinted>
  <dcterms:created xsi:type="dcterms:W3CDTF">2017-06-13T16:24:40Z</dcterms:created>
  <dcterms:modified xsi:type="dcterms:W3CDTF">2022-09-02T19:16:13Z</dcterms:modified>
</cp:coreProperties>
</file>